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45" windowWidth="19320" windowHeight="12120" tabRatio="686" activeTab="0"/>
  </bookViews>
  <sheets>
    <sheet name="Model Comparisons" sheetId="1" r:id="rId1"/>
    <sheet name="Costs by Model" sheetId="2" r:id="rId2"/>
    <sheet name="Highlights" sheetId="3" r:id="rId3"/>
    <sheet name="Subscriptions" sheetId="4" r:id="rId4"/>
    <sheet name="Subscription costs" sheetId="5" r:id="rId5"/>
    <sheet name="Xfers per sub" sheetId="6" r:id="rId6"/>
    <sheet name="Files per year" sheetId="7" r:id="rId7"/>
    <sheet name="ZF size" sheetId="8" r:id="rId8"/>
    <sheet name="gBytes per year" sheetId="9" r:id="rId9"/>
    <sheet name="Xfer &amp; Storage Cost" sheetId="10" r:id="rId10"/>
  </sheets>
  <definedNames/>
  <calcPr fullCalcOnLoad="1"/>
</workbook>
</file>

<file path=xl/comments1.xml><?xml version="1.0" encoding="utf-8"?>
<comments xmlns="http://schemas.openxmlformats.org/spreadsheetml/2006/main">
  <authors>
    <author>Rod Rasmussen</author>
  </authors>
  <commentList>
    <comment ref="H45" authorId="0">
      <text>
        <r>
          <rPr>
            <b/>
            <sz val="9"/>
            <rFont val="Arial"/>
            <family val="2"/>
          </rPr>
          <t>Rod Rasmussen:</t>
        </r>
        <r>
          <rPr>
            <sz val="9"/>
            <rFont val="Arial"/>
            <family val="2"/>
          </rPr>
          <t xml:space="preserve">
This is the proportion of expenses that continue to pass through to registries under each model.  Assumption is that some administrative costs will still need to be incurred by registries despite a centralized provider.  Percentage may vary based on number of tasks taken on by ZFAPP rather than registry.
Initnial version assumes Clearinghouse still will need 20% of amdinistrative issues handled by registries.  Slightly larger burden then the fully centralized models.</t>
        </r>
      </text>
    </comment>
    <comment ref="H46" authorId="0">
      <text>
        <r>
          <rPr>
            <b/>
            <sz val="9"/>
            <rFont val="Arial"/>
            <family val="2"/>
          </rPr>
          <t>Rod Rasmussen:</t>
        </r>
        <r>
          <rPr>
            <sz val="9"/>
            <rFont val="Arial"/>
            <family val="2"/>
          </rPr>
          <t xml:space="preserve">
This percantage lets you adjust how much different "overhead" costs would be for each type of centralized provider.  Assumption is that registries curently utilize other staff, while a central provider may have no other cost centers to defray some of these costs.  Values chosen for the example are just thoughtful guesses.</t>
        </r>
      </text>
    </comment>
    <comment ref="H49" authorId="0">
      <text>
        <r>
          <rPr>
            <b/>
            <sz val="9"/>
            <rFont val="Arial"/>
            <family val="2"/>
          </rPr>
          <t>Rod Rasmussen:</t>
        </r>
        <r>
          <rPr>
            <sz val="9"/>
            <rFont val="Arial"/>
            <family val="2"/>
          </rPr>
          <t xml:space="preserve">
This is the proportion of expenses that continue to pass through to registries under each model.  Assumption is that some administrative costs will still need to be incurred by registries despite a centralized provider.  Percentage may vary based on number of tasks taken on by ZFAPP rather than registry.
Assumes Repository still will need 10% of amdinistrative issues handled by registries.  Slightly lower burden then the clearinghouse model
</t>
        </r>
      </text>
    </comment>
    <comment ref="H50" authorId="0">
      <text>
        <r>
          <rPr>
            <b/>
            <sz val="9"/>
            <rFont val="Arial"/>
            <family val="2"/>
          </rPr>
          <t>Rod Rasmussen:</t>
        </r>
        <r>
          <rPr>
            <sz val="9"/>
            <rFont val="Arial"/>
            <family val="2"/>
          </rPr>
          <t xml:space="preserve">
This percantage lets you adjust how much different "overhead" costs would be for each type of centralized provider.  Assumption is that registries curently utilize other staff, while a central provider may have no other cost centers to defray some of these costs.  Values chosen for the example are just thoughtful guesses.</t>
        </r>
      </text>
    </comment>
    <comment ref="H53" authorId="0">
      <text>
        <r>
          <rPr>
            <b/>
            <sz val="9"/>
            <rFont val="Arial"/>
            <family val="2"/>
          </rPr>
          <t>Rod Rasmussen:</t>
        </r>
        <r>
          <rPr>
            <sz val="9"/>
            <rFont val="Arial"/>
            <family val="2"/>
          </rPr>
          <t xml:space="preserve">
This is the proportion of expenses that continue to pass through to registries under each model.  Assumption is that some administrative costs will still need to be incurred by registries despite a centralized provider.  Percentage may vary based on number of tasks taken on by ZFAPP rather than registry.
Initnial version assumes Clearinghouse still will need 20% of amdinistrative issues handled by registries.  Slightly larger burden then the fully centralized models.</t>
        </r>
      </text>
    </comment>
    <comment ref="H54" authorId="0">
      <text>
        <r>
          <rPr>
            <b/>
            <sz val="9"/>
            <rFont val="Arial"/>
            <family val="2"/>
          </rPr>
          <t>Rod Rasmussen:</t>
        </r>
        <r>
          <rPr>
            <sz val="9"/>
            <rFont val="Arial"/>
            <family val="2"/>
          </rPr>
          <t xml:space="preserve">
This percantage lets you adjust how much different "overhead" costs would be for each type of centralized provider.  Assumption is that registries curently utilize other staff, while a central provider may have no other cost centers to defray some of these costs.  Values chosen for the example are just thoughtful guesses.</t>
        </r>
      </text>
    </comment>
  </commentList>
</comments>
</file>

<file path=xl/comments2.xml><?xml version="1.0" encoding="utf-8"?>
<comments xmlns="http://schemas.openxmlformats.org/spreadsheetml/2006/main">
  <authors>
    <author>Mike O'Connor</author>
    <author>htp</author>
    <author>Rod Rasmussen</author>
  </authors>
  <commentList>
    <comment ref="N10" authorId="0">
      <text>
        <r>
          <rPr>
            <b/>
            <sz val="9"/>
            <rFont val="Arial"/>
            <family val="2"/>
          </rPr>
          <t>This percantage lets you adjust how much different "overhead" costs would be for each type of centralized provider.  Assumption is that registries curently utilize other staff, while a central provider may have no other cost centers to defray some of these costs.  Values chosen for the example are just thoughtful guesses.</t>
        </r>
      </text>
    </comment>
    <comment ref="N9" authorId="0">
      <text>
        <r>
          <rPr>
            <b/>
            <sz val="9"/>
            <rFont val="Arial"/>
            <family val="2"/>
          </rPr>
          <t>This is the proportion of expenses that continue to pass through to registries under each model.  Assumption is that some administrative costs will still need to be incurred by registries despite a centralized provider.  Percentage may vary based on number of tasks taken on by ZFAPP rather than registry.</t>
        </r>
      </text>
    </comment>
    <comment ref="V61" authorId="0">
      <text>
        <r>
          <rPr>
            <b/>
            <sz val="9"/>
            <rFont val="Arial"/>
            <family val="2"/>
          </rPr>
          <t>Mike O'Connor:</t>
        </r>
        <r>
          <rPr>
            <sz val="9"/>
            <rFont val="Arial"/>
            <family val="2"/>
          </rPr>
          <t xml:space="preserve">
This one is big, but that may not be a bad thing -- it's mostly variable costs that are shifted from the registries to the consolidator.  
An interesting question is "who can buy bandwidth cheaper?" with the answer being Verisign can, but the smaller ones may be pretty much on par.
Key point is to </t>
        </r>
        <r>
          <rPr>
            <b/>
            <sz val="9"/>
            <rFont val="Arial"/>
            <family val="2"/>
          </rPr>
          <t>compare</t>
        </r>
        <r>
          <rPr>
            <sz val="9"/>
            <rFont val="Arial"/>
            <family val="2"/>
          </rPr>
          <t xml:space="preserve"> this cost to what registries would otherwise have to incur.</t>
        </r>
      </text>
    </comment>
    <comment ref="P21" authorId="0">
      <text>
        <r>
          <rPr>
            <b/>
            <sz val="9"/>
            <rFont val="Arial"/>
            <family val="2"/>
          </rPr>
          <t>Assumes that all new customers will get the most popular zone as part of their pachage.  Thus take the MAX expenditure level you would have to support.</t>
        </r>
      </text>
    </comment>
    <comment ref="A44" authorId="0">
      <text>
        <r>
          <rPr>
            <b/>
            <sz val="9"/>
            <rFont val="Arial"/>
            <family val="2"/>
          </rPr>
          <t>Fixed costs are assumed to those that have to be provided simply to create and maintain access for just a single customer.  Typically this means systems adminstration work for the technical side, plus some other management tasks to ensure a program is in place.  By adjusting the person-year factors, you can try out different assumptions for these values.  Initial numbers represent partial position requirements.  It is assumed in this 1st model that larger registries may well have more "fixed" costs in place.  This last notion may be counter-intutive, but the user is free to add his or her own assumptions for these.</t>
        </r>
      </text>
    </comment>
    <comment ref="A19" authorId="1">
      <text>
        <r>
          <rPr>
            <b/>
            <sz val="8"/>
            <rFont val="Tahoma"/>
            <family val="2"/>
          </rPr>
          <t>Rate of new subscribers per calendar year.  They will require support through the sign-up process.</t>
        </r>
      </text>
    </comment>
    <comment ref="A29" authorId="1">
      <text>
        <r>
          <rPr>
            <b/>
            <sz val="8"/>
            <rFont val="Tahoma"/>
            <family val="2"/>
          </rPr>
          <t>Weighting foctor for non-customer support personnel Assumes there is a ratio of support personnel to other adminstrative positions  2-1 seemed a resonable margin for now..</t>
        </r>
      </text>
    </comment>
    <comment ref="P26" authorId="2">
      <text>
        <r>
          <rPr>
            <b/>
            <sz val="9"/>
            <rFont val="Arial"/>
            <family val="2"/>
          </rPr>
          <t>Assumes that all new customers will get the most popular zone as part of their pachage.  Thus take the MAX expenditure level you would have to support.</t>
        </r>
      </text>
    </comment>
    <comment ref="P31" authorId="2">
      <text>
        <r>
          <rPr>
            <b/>
            <sz val="9"/>
            <rFont val="Arial"/>
            <family val="2"/>
          </rPr>
          <t>No data operations to secure in this model</t>
        </r>
        <r>
          <rPr>
            <sz val="9"/>
            <rFont val="Arial"/>
            <family val="2"/>
          </rPr>
          <t xml:space="preserve">
</t>
        </r>
      </text>
    </comment>
    <comment ref="O9" authorId="2">
      <text>
        <r>
          <rPr>
            <b/>
            <sz val="9"/>
            <rFont val="Arial"/>
            <family val="2"/>
          </rPr>
          <t>Assumes Clearinghouse still will need 20% of amdinistrative issues handled by registries.  Slightly larger burden then the fully centralized models.</t>
        </r>
        <r>
          <rPr>
            <sz val="9"/>
            <rFont val="Arial"/>
            <family val="2"/>
          </rPr>
          <t xml:space="preserve">
</t>
        </r>
      </text>
    </comment>
    <comment ref="V9" authorId="2">
      <text>
        <r>
          <rPr>
            <b/>
            <sz val="9"/>
            <rFont val="Arial"/>
            <family val="2"/>
          </rPr>
          <t xml:space="preserve">Assumes Repository still will need 10% of amdinistrative issues handled by registries.  Slightly lower burden then the clearinghouse model
</t>
        </r>
        <r>
          <rPr>
            <sz val="9"/>
            <rFont val="Arial"/>
            <family val="2"/>
          </rPr>
          <t xml:space="preserve">
</t>
        </r>
      </text>
    </comment>
    <comment ref="AC9" authorId="2">
      <text>
        <r>
          <rPr>
            <b/>
            <sz val="9"/>
            <rFont val="Arial"/>
            <family val="2"/>
          </rPr>
          <t xml:space="preserve">Assumes Proxy still will need 10% of amdinistrative issues handled by registries.  Slightly lower burden then the clearinghouse model
</t>
        </r>
        <r>
          <rPr>
            <sz val="9"/>
            <rFont val="Arial"/>
            <family val="2"/>
          </rPr>
          <t xml:space="preserve">
</t>
        </r>
      </text>
    </comment>
    <comment ref="U9" authorId="0">
      <text>
        <r>
          <rPr>
            <b/>
            <sz val="9"/>
            <rFont val="Arial"/>
            <family val="2"/>
          </rPr>
          <t>This is the proportion of expenses that continue to pass through to registries under each model.  Assumption is that some administrative costs will still need to be incurred by registries despite a centralized provider.  Percentage may vary based on number of tasks taken on by ZFAPP rather than registry.</t>
        </r>
      </text>
    </comment>
    <comment ref="U10" authorId="0">
      <text>
        <r>
          <rPr>
            <b/>
            <sz val="9"/>
            <rFont val="Arial"/>
            <family val="2"/>
          </rPr>
          <t>This percantage lets you adjust how much different "overhead" costs would be for each type of centralized provider.  Assumption is that registries curently utilize other staff, while a central provider may have no other cost centers to defray some of these costs.  Values chosen for the example are just thoughtful guesses.</t>
        </r>
      </text>
    </comment>
    <comment ref="AB9" authorId="0">
      <text>
        <r>
          <rPr>
            <b/>
            <sz val="9"/>
            <rFont val="Arial"/>
            <family val="2"/>
          </rPr>
          <t>This is the proportion of expenses that continue to pass through to registries under each model.  Assumption is that some administrative costs will still need to be incurred by registries despite a centralized provider.  Percentage may vary based on number of tasks taken on by ZFAPP rather than registry.</t>
        </r>
      </text>
    </comment>
    <comment ref="AB10" authorId="0">
      <text>
        <r>
          <rPr>
            <b/>
            <sz val="9"/>
            <rFont val="Arial"/>
            <family val="2"/>
          </rPr>
          <t>This percantage lets you adjust how much different "overhead" costs would be for each type of centralized provider.  Assumption is that registries curently utilize other staff, while a central provider may have no other cost centers to defray some of these costs.  Values chosen for the example are just thoughtful guesses.</t>
        </r>
      </text>
    </comment>
    <comment ref="W36" authorId="2">
      <text>
        <r>
          <rPr>
            <sz val="9"/>
            <rFont val="Arial"/>
            <family val="2"/>
          </rPr>
          <t xml:space="preserve">A centralized provider would have to pick up all costs for data transfer under some models - thus and additive calculation of all the costs times number of registries.
This number gets much larger with hundreds of new registies.
</t>
        </r>
      </text>
    </comment>
    <comment ref="P36" authorId="2">
      <text>
        <r>
          <rPr>
            <b/>
            <sz val="9"/>
            <rFont val="Arial"/>
            <family val="2"/>
          </rPr>
          <t>No data operations to secure in this model</t>
        </r>
        <r>
          <rPr>
            <sz val="9"/>
            <rFont val="Arial"/>
            <family val="2"/>
          </rPr>
          <t xml:space="preserve">
</t>
        </r>
      </text>
    </comment>
    <comment ref="W26" authorId="2">
      <text>
        <r>
          <rPr>
            <b/>
            <sz val="9"/>
            <rFont val="Arial"/>
            <family val="2"/>
          </rPr>
          <t>Assumes that all new customers will get the most popular zone as part of their pachage.  Thus take the MAX expenditure level you would have to support.</t>
        </r>
      </text>
    </comment>
    <comment ref="W21" authorId="2">
      <text>
        <r>
          <rPr>
            <b/>
            <sz val="9"/>
            <rFont val="Arial"/>
            <family val="2"/>
          </rPr>
          <t>Assumes that all new customers will get the most popular zone as part of their pachage.  Thus take the MAX expenditure level you would have to support.</t>
        </r>
      </text>
    </comment>
    <comment ref="W31" authorId="2">
      <text>
        <r>
          <rPr>
            <b/>
            <sz val="9"/>
            <rFont val="Arial"/>
            <family val="2"/>
          </rPr>
          <t>Assumes that all new customers will get the most popular zone as part of their pachage.  Thus take the MAX expenditure level you would have to support.</t>
        </r>
      </text>
    </comment>
    <comment ref="AD21" authorId="2">
      <text>
        <r>
          <rPr>
            <b/>
            <sz val="9"/>
            <rFont val="Arial"/>
            <family val="2"/>
          </rPr>
          <t>Assumes that all new customers will get the most popular zone as part of their pachage.  Thus take the MAX expenditure level you would have to support.</t>
        </r>
      </text>
    </comment>
    <comment ref="AD26" authorId="2">
      <text>
        <r>
          <rPr>
            <b/>
            <sz val="9"/>
            <rFont val="Arial"/>
            <family val="2"/>
          </rPr>
          <t>Assumes that all new customers will get the most popular zone as part of their pachage.  Thus take the MAX expenditure level you would have to support.</t>
        </r>
      </text>
    </comment>
    <comment ref="AD31" authorId="2">
      <text>
        <r>
          <rPr>
            <b/>
            <sz val="9"/>
            <rFont val="Arial"/>
            <family val="2"/>
          </rPr>
          <t>Assumes that all new customers will get the most popular zone as part of their pachage.  Thus take the MAX expenditure level you would have to support.</t>
        </r>
      </text>
    </comment>
    <comment ref="AD36" authorId="2">
      <text>
        <r>
          <rPr>
            <b/>
            <sz val="9"/>
            <rFont val="Arial"/>
            <family val="2"/>
          </rPr>
          <t>No data operations to secure in this model</t>
        </r>
        <r>
          <rPr>
            <sz val="9"/>
            <rFont val="Arial"/>
            <family val="2"/>
          </rPr>
          <t xml:space="preserve">
</t>
        </r>
      </text>
    </comment>
  </commentList>
</comments>
</file>

<file path=xl/sharedStrings.xml><?xml version="1.0" encoding="utf-8"?>
<sst xmlns="http://schemas.openxmlformats.org/spreadsheetml/2006/main" count="891" uniqueCount="283">
  <si>
    <t>Downloads by Consumer Type</t>
  </si>
  <si>
    <t>Small</t>
  </si>
  <si>
    <t>Medium</t>
  </si>
  <si>
    <t>Large</t>
  </si>
  <si>
    <t>Default values</t>
  </si>
  <si>
    <t>Monthly</t>
  </si>
  <si>
    <t>Weekly</t>
  </si>
  <si>
    <t>Daily</t>
  </si>
  <si>
    <t>Overall Industry Impacts (Add up costs to all providers in the ecosystem)</t>
  </si>
  <si>
    <t>Model</t>
  </si>
  <si>
    <t>Difference from "Baseline" (Protocol Standardization)</t>
  </si>
  <si>
    <t>Chosen</t>
  </si>
  <si>
    <t>Total Cost</t>
  </si>
  <si>
    <t>zone files.  I'd leave the assumption that the aggregator</t>
  </si>
  <si>
    <t>downloads once a day alone.</t>
  </si>
  <si>
    <t>This page allows you to vary the "how much does it cost</t>
  </si>
  <si>
    <t>parties will "touch" each subscription, that's why the total</t>
  </si>
  <si>
    <t>Consolidator Cost Calculator</t>
  </si>
  <si>
    <t>$ per subscriber</t>
  </si>
  <si>
    <t xml:space="preserve">     Subscribers =&gt;</t>
  </si>
  <si>
    <t>Analysis of Alternative Models - Annual Costs per Responsible Party</t>
  </si>
  <si>
    <t>Customer Support</t>
  </si>
  <si>
    <t>Labor Costs</t>
  </si>
  <si>
    <t>Comparison of Costs for each model</t>
  </si>
  <si>
    <t>Registry Size</t>
  </si>
  <si>
    <t>Consolidator Cost Calculator</t>
  </si>
  <si>
    <t>ZFAPP Clearinghouse</t>
  </si>
  <si>
    <t>ZFAPP Repository</t>
  </si>
  <si>
    <t>ZFAPP Proxy</t>
  </si>
  <si>
    <t>Difference from "Baseline" (Protocol Standardization)</t>
  </si>
  <si>
    <t>Current Industry Size vs. Future</t>
  </si>
  <si>
    <t>Overall Costs per Provider</t>
  </si>
  <si>
    <t>size they will be (row 5).  There is no specific time-frame associated with</t>
  </si>
  <si>
    <t xml:space="preserve">will be (column B).  </t>
  </si>
  <si>
    <t>Calculation -- Avg. transfer cost per provider per year</t>
  </si>
  <si>
    <t>"Projected" -- who knows when new gTLDs will spin up.  So this is</t>
  </si>
  <si>
    <t>Cost Center</t>
  </si>
  <si>
    <t>Responsible Party</t>
  </si>
  <si>
    <t>Registry</t>
  </si>
  <si>
    <t>Consolidator</t>
  </si>
  <si>
    <t>Single Consumer</t>
  </si>
  <si>
    <t>Registry Size</t>
  </si>
  <si>
    <t>New Subscription Handling</t>
  </si>
  <si>
    <t>Protocol Standardization</t>
  </si>
  <si>
    <t>ZFAPP Clearinghouse</t>
  </si>
  <si>
    <t>ZFAPP Repository</t>
  </si>
  <si>
    <t>&lt;---- Note - This assumption gets changed on the "ZF size: page</t>
  </si>
  <si>
    <t xml:space="preserve">&lt;---- Note - This assumption gets changed on the "gBytes/year" page </t>
  </si>
  <si>
    <t>file-transfer volume (this page) and associated costs</t>
  </si>
  <si>
    <t>(next page)</t>
  </si>
  <si>
    <t>full and diff ---&gt;</t>
  </si>
  <si>
    <t>Full zone</t>
  </si>
  <si>
    <t>Diffs file</t>
  </si>
  <si>
    <t>Click on this cell to toggle between</t>
  </si>
  <si>
    <t>Today</t>
  </si>
  <si>
    <t>Projected</t>
  </si>
  <si>
    <t>Subscriptions to manage</t>
  </si>
  <si>
    <t>Assumptions</t>
  </si>
  <si>
    <t>All Registries</t>
  </si>
  <si>
    <t>All Entities</t>
  </si>
  <si>
    <t>0=current, 1=future</t>
  </si>
  <si>
    <t>storing 1 gByte (used in "consumer"</t>
  </si>
  <si>
    <t>Basis for diffs/full filesize assumption -- based on Jan 29, 2010 RegistrarStats data</t>
  </si>
  <si>
    <t>.COM</t>
  </si>
  <si>
    <t>.ORG</t>
  </si>
  <si>
    <t>.ASIA</t>
  </si>
  <si>
    <t xml:space="preserve">Assumption -- ratio of diff's to total domains </t>
  </si>
  <si>
    <t>Calculation -- Avg. Gbytes per provider per year</t>
  </si>
  <si>
    <t>Calculation -- Avg. Gbytes per consumer per year</t>
  </si>
  <si>
    <t>New</t>
  </si>
  <si>
    <t>In this model you can</t>
  </si>
  <si>
    <t>choose how many files</t>
  </si>
  <si>
    <t>the aggregator delivers</t>
  </si>
  <si>
    <t>to the consumer -- one</t>
  </si>
  <si>
    <t xml:space="preserve">file per day, or one file </t>
  </si>
  <si>
    <t>Driven by assumptions input on other worksheets - costs for support, data transfer, number of subscribers</t>
  </si>
  <si>
    <t>Aggregator</t>
  </si>
  <si>
    <t>Annual</t>
  </si>
  <si>
    <t>Savings</t>
  </si>
  <si>
    <t>Difference</t>
  </si>
  <si>
    <t>Calculation -- gBytes transferred per year (Files/year * File size/1,000,000,000)</t>
  </si>
  <si>
    <t>is double what you might expect.</t>
  </si>
  <si>
    <t>to your changes.  Note -- the model presumes that both</t>
  </si>
  <si>
    <t>Assumptions on this page;</t>
  </si>
  <si>
    <t>Change your guess as to how many registries there will be, and what</t>
  </si>
  <si>
    <t>Files delivered per year</t>
  </si>
  <si>
    <t>Today</t>
  </si>
  <si>
    <t xml:space="preserve">Changing the filesize from full-zones to diffs has a </t>
  </si>
  <si>
    <t>Systems Administration</t>
  </si>
  <si>
    <t>Variable Costs</t>
  </si>
  <si>
    <t>Fixed Costs</t>
  </si>
  <si>
    <t>General Administration/Compliance</t>
  </si>
  <si>
    <t>Total Variable Costs</t>
  </si>
  <si>
    <t>Total Fixed Costs</t>
  </si>
  <si>
    <t>Total  Costs</t>
  </si>
  <si>
    <t>Data Transfer/Storage</t>
  </si>
  <si>
    <t xml:space="preserve">Admin Cost Pass Through Percentage: </t>
  </si>
  <si>
    <t>Load vs. Support</t>
  </si>
  <si>
    <t>New Subs</t>
  </si>
  <si>
    <t>Rate of New</t>
  </si>
  <si>
    <t>Security and Ops Impact</t>
  </si>
  <si>
    <t>Annual Labor</t>
  </si>
  <si>
    <t>Base Personnel</t>
  </si>
  <si>
    <t>Full zone</t>
  </si>
  <si>
    <t>about how many times a year a consumer downloads</t>
  </si>
  <si>
    <t>Projected</t>
  </si>
  <si>
    <t>Assumption (selectable on Files/year page)</t>
  </si>
  <si>
    <t>that the customer gets:</t>
  </si>
  <si>
    <t>Small</t>
  </si>
  <si>
    <t>Projected</t>
  </si>
  <si>
    <t>Medium</t>
  </si>
  <si>
    <t>Large</t>
  </si>
  <si>
    <t>Registries</t>
  </si>
  <si>
    <t>Assumptions -- Subscription frequency</t>
  </si>
  <si>
    <t>Assumption</t>
  </si>
  <si>
    <t>Registries</t>
  </si>
  <si>
    <t>Downloads per year (per subscription)</t>
  </si>
  <si>
    <t>Total</t>
  </si>
  <si>
    <t>Today</t>
  </si>
  <si>
    <t>Projected</t>
  </si>
  <si>
    <t>Aggregator</t>
  </si>
  <si>
    <t>Total</t>
  </si>
  <si>
    <t>Today</t>
  </si>
  <si>
    <t>per zone per day.  There's</t>
  </si>
  <si>
    <t>Total annual cost of managing subscriptions</t>
  </si>
  <si>
    <t>Calculation -- File transfers per year (Subscriptions per consumer x Transfers per subscription per year)</t>
  </si>
  <si>
    <t>Calculation -- ZF transfers per subscriber per year</t>
  </si>
  <si>
    <t>Aggregator</t>
  </si>
  <si>
    <t>Assumptions -- number of files delivered - toggle</t>
  </si>
  <si>
    <t>1 file per day</t>
  </si>
  <si>
    <t>1 file/zone/day</t>
  </si>
  <si>
    <t>(click on the cell to get</t>
  </si>
  <si>
    <t>a list of choices)</t>
  </si>
  <si>
    <t xml:space="preserve">1 file/day would greatly </t>
  </si>
  <si>
    <t xml:space="preserve">reduce the number of </t>
  </si>
  <si>
    <t xml:space="preserve">files, 1 file/zone/day </t>
  </si>
  <si>
    <t>just a "now" vs "sometime later" projection.</t>
  </si>
  <si>
    <t>You can vary the number of consumers there are and</t>
  </si>
  <si>
    <t>You can vary the "take-rate" of the consumers.  The number of</t>
  </si>
  <si>
    <t>subscriptions is calculated by taking the number of registries,</t>
  </si>
  <si>
    <t>store copies of downloaded zone</t>
  </si>
  <si>
    <t>ZFAPP Proxy</t>
  </si>
  <si>
    <t>multiplied by the number of consumers, times the take-rate.  So</t>
  </si>
  <si>
    <t>the big consumers subscribe to all the registries (100%) where</t>
  </si>
  <si>
    <t>small consumers just subscribe to a very few -- although all of them</t>
  </si>
  <si>
    <t>Note: Aggregator is assumed to download full zone files</t>
  </si>
  <si>
    <t>from every registry, every day and then crunch the diff's before</t>
  </si>
  <si>
    <t>sending them out to consumers</t>
  </si>
  <si>
    <t>Transfers per year (per subscription)</t>
  </si>
  <si>
    <t xml:space="preserve">     Registries =&gt;</t>
  </si>
  <si>
    <t>Single Registry</t>
  </si>
  <si>
    <t xml:space="preserve">Amazon S3 charge </t>
  </si>
  <si>
    <t>Best rate for 1 gByte transferred</t>
  </si>
  <si>
    <t>(as of Jan 29, 2010)</t>
  </si>
  <si>
    <t>Best rate for 1 gByte stored/month</t>
  </si>
  <si>
    <t xml:space="preserve">Scroll down on the page to see breakouts for </t>
  </si>
  <si>
    <t>Note: this top section summarizes totals for all participants.</t>
  </si>
  <si>
    <t>Annual subscription-related costs</t>
  </si>
  <si>
    <t>TRANSFER and STORAGE costs</t>
  </si>
  <si>
    <t xml:space="preserve">Scroll further down on the page to see breakouts for </t>
  </si>
  <si>
    <t>Annual transfer and storage-related costs</t>
  </si>
  <si>
    <t>Toggle to turn DNSSEC on and off</t>
  </si>
  <si>
    <t>DNSSEC</t>
  </si>
  <si>
    <t>Removed</t>
  </si>
  <si>
    <t xml:space="preserve">&lt;---- Note - This assumption gets changed on the "Files/year" page </t>
  </si>
  <si>
    <t>Note: this section shows SUBSCRIPTION costs</t>
  </si>
  <si>
    <t>This page is just an intermediate calculation on the way</t>
  </si>
  <si>
    <t>to the files/year page.  You can change the assumption</t>
  </si>
  <si>
    <t>Transfer and storage costs</t>
  </si>
  <si>
    <t>Projected</t>
  </si>
  <si>
    <t>Current</t>
  </si>
  <si>
    <t>registries would have no incremental</t>
  </si>
  <si>
    <t>storage costs)</t>
  </si>
  <si>
    <t>Assumption - months that Consumers</t>
  </si>
  <si>
    <t>Cost of transferring and</t>
  </si>
  <si>
    <t>This is where you can change the number of domains</t>
  </si>
  <si>
    <t>in the zone files (under registries) and the number of</t>
  </si>
  <si>
    <t>bytes per domain</t>
  </si>
  <si>
    <t>to the aggregator)</t>
  </si>
  <si>
    <t>Assumptions -- ratio of "diffs" filesize to full filesize, toggle diffs on and off</t>
  </si>
  <si>
    <t>Toggle to turn diffs on and off</t>
  </si>
  <si>
    <t>Click on the cell to get a drop-down list</t>
  </si>
  <si>
    <t>No DNSSEC</t>
  </si>
  <si>
    <t>dramatic impact on transfer and storage costs.  Use</t>
  </si>
  <si>
    <t>this toggle to switch back and forth -- note the impact on</t>
  </si>
  <si>
    <t>Calculation -- Subscription maintenance cost (Registry sub cost and Consumer sub cost * Subscriptions)</t>
  </si>
  <si>
    <t>Aggregator - registry-subscription side</t>
  </si>
  <si>
    <t>Consumer-</t>
  </si>
  <si>
    <t>subscription</t>
  </si>
  <si>
    <t>side</t>
  </si>
  <si>
    <t>Calculation -- Zone File sizes (Number of domains * Bytes per domain)</t>
  </si>
  <si>
    <t xml:space="preserve">Fixed Cost for Centralized Provider Factor: </t>
  </si>
  <si>
    <t>Assumptions -- number of domains in ZF, Bytes per domain</t>
  </si>
  <si>
    <t>Calculation -- Subscriptions</t>
  </si>
  <si>
    <t>Assumptions --  Subscriptions by consumer-size, Registries by size, Consumer take-rates</t>
  </si>
  <si>
    <t>average registry and consumer</t>
  </si>
  <si>
    <t>Basis for file transfer costs</t>
  </si>
  <si>
    <t>Today</t>
  </si>
  <si>
    <t>Consumers</t>
  </si>
  <si>
    <t>Calculation -- Avg. files per provider per year</t>
  </si>
  <si>
    <t>Calculation -- Avg. files per consumer per year</t>
  </si>
  <si>
    <t>Calculation -- Avg. annual subscription-maint. cost per consumer</t>
  </si>
  <si>
    <t>Calculation -- Avg. annual subscription-maintenance per provider</t>
  </si>
  <si>
    <t xml:space="preserve">no cost implication in </t>
  </si>
  <si>
    <t>the model right now --</t>
  </si>
  <si>
    <t>this is here just for info</t>
  </si>
  <si>
    <t>subscribe to .COM/.NET in this model.</t>
  </si>
  <si>
    <t>It's presumed that the aggregator will subscribe to all registries and</t>
  </si>
  <si>
    <t>have accounts with all consumers.</t>
  </si>
  <si>
    <t>purposes.</t>
  </si>
  <si>
    <t>Make your choice here</t>
  </si>
  <si>
    <t>1 file per day</t>
  </si>
  <si>
    <t>Establishing a contract</t>
  </si>
  <si>
    <t>Establishing account credentials</t>
  </si>
  <si>
    <t>Setting up and testing connection</t>
  </si>
  <si>
    <t>Monitoring activity and use</t>
  </si>
  <si>
    <t>Coping with changes</t>
  </si>
  <si>
    <t>Examples of activities;</t>
  </si>
  <si>
    <t>Volumes and costs by participant</t>
  </si>
  <si>
    <t>Calculation -- Avg. annual subscriptions per consumer</t>
  </si>
  <si>
    <t>Calculation -- Avg. annual subscriptions per provider</t>
  </si>
  <si>
    <t>Today</t>
  </si>
  <si>
    <t>Projected</t>
  </si>
  <si>
    <t>.COM/.NET</t>
  </si>
  <si>
    <t>Consumers</t>
  </si>
  <si>
    <t>Registries</t>
  </si>
  <si>
    <t>Assumptions - Current vs. Projected Models</t>
  </si>
  <si>
    <t xml:space="preserve">files (don't reduce to zero - use a </t>
  </si>
  <si>
    <t>fraction to express time &lt; 1 month)</t>
  </si>
  <si>
    <t>Assumptions -- Incremental transfer and storage costs</t>
  </si>
  <si>
    <t>Calculation -- Avg. cost of transfer and storage per year per consumer</t>
  </si>
  <si>
    <t>(any other ideas?)</t>
  </si>
  <si>
    <t>Labor rate/hr (loaded)</t>
  </si>
  <si>
    <t>Total hours</t>
  </si>
  <si>
    <t>Hours/yr</t>
  </si>
  <si>
    <t>Cost per subscription</t>
  </si>
  <si>
    <t>Basis for file-storage costs</t>
  </si>
  <si>
    <t>Fixed Cost for Centralized Provider Factor:</t>
  </si>
  <si>
    <t>Admin (Variable) Cost Pass Through to Registries:</t>
  </si>
  <si>
    <t>%  of new subscribers annually</t>
  </si>
  <si>
    <t>Market Sizing</t>
  </si>
  <si>
    <t>Cost Structures</t>
  </si>
  <si>
    <t xml:space="preserve">You can vary the number of consumers there are and will be (column C).  </t>
  </si>
  <si>
    <t>Model</t>
  </si>
  <si>
    <t>Consolidator</t>
  </si>
  <si>
    <t>Consumer Distribution</t>
  </si>
  <si>
    <t>Base labor costs just to offer ANY service regardless of # of subscribers</t>
  </si>
  <si>
    <t>Systems Administration Headcount</t>
  </si>
  <si>
    <t>Zone File Data Characteristics</t>
  </si>
  <si>
    <t>Bytes/domain in ZF</t>
  </si>
  <si>
    <t>Assume DNSSEC? (0=NO, 1=YES)</t>
  </si>
  <si>
    <t>to touch a subscription" assumption. The model will pay attention</t>
  </si>
  <si>
    <t>Assumption</t>
  </si>
  <si>
    <t>Weekly cost</t>
  </si>
  <si>
    <t>of delay</t>
  </si>
  <si>
    <t>Assumptions --  Costs to maintain a single subscription, per year</t>
  </si>
  <si>
    <t>Bytes/domain in ZF (base number, presumes gZipped file)</t>
  </si>
  <si>
    <t>Bytes/domain added by DNSSEC (complete guess, needs improvement)</t>
  </si>
  <si>
    <t>Aggregator</t>
  </si>
  <si>
    <t>Max. domains per registry</t>
  </si>
  <si>
    <t>Consumers</t>
  </si>
  <si>
    <t>.COM/.NET</t>
  </si>
  <si>
    <t>Total volumes and costs across all participants</t>
  </si>
  <si>
    <t>Transferred</t>
  </si>
  <si>
    <t>Total diff's/day</t>
  </si>
  <si>
    <t>Total in TLD</t>
  </si>
  <si>
    <t>Ratio</t>
  </si>
  <si>
    <t>Calculation -- cost of file transfer and storage</t>
  </si>
  <si>
    <t>Assumption (selectable on gBytes/year page)</t>
  </si>
  <si>
    <t>is that the Aggregator delivers:</t>
  </si>
  <si>
    <t>gBytes transfered per year</t>
  </si>
  <si>
    <t>slightly increases the</t>
  </si>
  <si>
    <t>total (to account for</t>
  </si>
  <si>
    <t>the addition of transfers</t>
  </si>
  <si>
    <t>cost calculations - assumed that</t>
  </si>
  <si>
    <t>Current vs. Projected Models</t>
  </si>
  <si>
    <t>Assumptions</t>
  </si>
  <si>
    <t>Total</t>
  </si>
  <si>
    <t>0=now, 1=projected</t>
  </si>
  <si>
    <t>size they will be (row 15).  There is no specific time-frame associated with</t>
  </si>
  <si>
    <t>Operational Costs</t>
  </si>
  <si>
    <t>Detailed Hourly Labor</t>
  </si>
  <si>
    <t>Structural Distribution of Variable Costs</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</si>
</sst>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00;&quot;$&quot;\(#,##0.00\)"/>
    <numFmt numFmtId="173" formatCode="&quot;$&quot;#,##0;&quot;$&quot;\(#,##0\)"/>
    <numFmt numFmtId="174" formatCode="_(* #,##0.000_);_(* \(#,##0.000\);_(* &quot;-&quot;??_);_(@_)"/>
    <numFmt numFmtId="175" formatCode="_(* #,##0.0_);_(* \(#,##0.0\);_(* &quot;-&quot;??_);_(@_)"/>
    <numFmt numFmtId="176" formatCode="_(* #,##0_);_(* \(#,##0\);_(* &quot;-&quot;??_);_(@_)"/>
    <numFmt numFmtId="177" formatCode="#,##0.0"/>
    <numFmt numFmtId="178" formatCode="_(&quot;$&quot;* #,##0.0_);_(&quot;$&quot;* \(#,##0.0\);_(&quot;$&quot;* &quot;-&quot;??_);_(@_)"/>
    <numFmt numFmtId="179" formatCode="_(&quot;$&quot;* #,##0_);_(&quot;$&quot;* \(#,##0\);_(&quot;$&quot;* &quot;-&quot;??_);_(@_)"/>
    <numFmt numFmtId="180" formatCode="&quot;$&quot;#,##0.00"/>
    <numFmt numFmtId="181" formatCode="&quot;$&quot;#,##0.0"/>
    <numFmt numFmtId="182" formatCode="&quot;$&quot;#,##0"/>
    <numFmt numFmtId="183" formatCode="#,##0.000"/>
    <numFmt numFmtId="184" formatCode="0.0%"/>
    <numFmt numFmtId="185" formatCode="0.000%"/>
    <numFmt numFmtId="186" formatCode="&quot;$&quot;#,##0.000_);[Red]\(&quot;$&quot;#,##0.000\)"/>
  </numFmts>
  <fonts count="53">
    <font>
      <sz val="10"/>
      <name val="Arial"/>
      <family val="2"/>
    </font>
    <font>
      <b/>
      <sz val="10"/>
      <color indexed="8"/>
      <name val="Verdana"/>
      <family val="2"/>
    </font>
    <font>
      <sz val="10"/>
      <color indexed="8"/>
      <name val="Verdana"/>
      <family val="2"/>
    </font>
    <font>
      <b/>
      <sz val="10"/>
      <name val="Arial"/>
      <family val="2"/>
    </font>
    <font>
      <sz val="8"/>
      <name val="Verdana"/>
      <family val="0"/>
    </font>
    <font>
      <u val="single"/>
      <sz val="10"/>
      <color indexed="12"/>
      <name val="Arial"/>
      <family val="2"/>
    </font>
    <font>
      <u val="single"/>
      <sz val="10"/>
      <color indexed="61"/>
      <name val="Arial"/>
      <family val="2"/>
    </font>
    <font>
      <sz val="9"/>
      <name val="Arial"/>
      <family val="0"/>
    </font>
    <font>
      <b/>
      <sz val="9"/>
      <name val="Arial"/>
      <family val="0"/>
    </font>
    <font>
      <b/>
      <sz val="12"/>
      <name val="Arial"/>
      <family val="0"/>
    </font>
    <font>
      <b/>
      <sz val="18"/>
      <name val="Arial"/>
      <family val="0"/>
    </font>
    <font>
      <b/>
      <sz val="11"/>
      <name val="Arial"/>
      <family val="0"/>
    </font>
    <font>
      <sz val="8"/>
      <name val="Helv"/>
      <family val="0"/>
    </font>
    <font>
      <b/>
      <sz val="8"/>
      <name val="Tahoma"/>
      <family val="2"/>
    </font>
    <font>
      <b/>
      <sz val="17"/>
      <name val="Arial"/>
      <family val="0"/>
    </font>
    <font>
      <i/>
      <sz val="14"/>
      <name val="Arial"/>
      <family val="0"/>
    </font>
    <font>
      <i/>
      <sz val="16"/>
      <name val="Arial"/>
      <family val="0"/>
    </font>
    <font>
      <sz val="12"/>
      <name val="Arial"/>
      <family val="0"/>
    </font>
    <font>
      <sz val="11"/>
      <color indexed="8"/>
      <name val="Calibri"/>
      <family val="2"/>
    </font>
    <font>
      <sz val="11"/>
      <color indexed="12"/>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12"/>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13"/>
        <bgColor indexed="64"/>
      </patternFill>
    </fill>
    <fill>
      <patternFill patternType="solid">
        <fgColor indexed="11"/>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6"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5"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65">
    <xf numFmtId="0" fontId="0" fillId="0" borderId="0" xfId="0" applyAlignment="1">
      <alignment vertical="center"/>
    </xf>
    <xf numFmtId="0" fontId="0" fillId="0" borderId="0" xfId="0" applyFill="1" applyAlignment="1">
      <alignment vertical="center"/>
    </xf>
    <xf numFmtId="0" fontId="7" fillId="0" borderId="0" xfId="0" applyNumberFormat="1" applyFont="1" applyFill="1" applyBorder="1" applyAlignment="1" applyProtection="1">
      <alignment wrapText="1"/>
      <protection/>
    </xf>
    <xf numFmtId="0" fontId="8" fillId="0" borderId="0" xfId="0" applyNumberFormat="1" applyFont="1" applyFill="1" applyBorder="1" applyAlignment="1" applyProtection="1">
      <alignment wrapText="1"/>
      <protection/>
    </xf>
    <xf numFmtId="0" fontId="8" fillId="0" borderId="0" xfId="0" applyNumberFormat="1" applyFont="1" applyFill="1" applyBorder="1" applyAlignment="1" applyProtection="1">
      <alignment horizontal="center" wrapText="1"/>
      <protection/>
    </xf>
    <xf numFmtId="0" fontId="7" fillId="0" borderId="0" xfId="0" applyFont="1" applyAlignment="1">
      <alignment vertical="center"/>
    </xf>
    <xf numFmtId="0" fontId="7" fillId="0" borderId="0" xfId="0" applyNumberFormat="1" applyFont="1" applyFill="1" applyBorder="1" applyAlignment="1" applyProtection="1">
      <alignment horizontal="center" wrapText="1"/>
      <protection/>
    </xf>
    <xf numFmtId="0" fontId="7" fillId="0" borderId="0" xfId="0" applyFont="1" applyFill="1" applyAlignment="1">
      <alignment vertical="center"/>
    </xf>
    <xf numFmtId="3" fontId="7" fillId="0" borderId="0" xfId="0" applyNumberFormat="1" applyFont="1" applyFill="1" applyBorder="1" applyAlignment="1" applyProtection="1">
      <alignment horizontal="center" wrapText="1"/>
      <protection/>
    </xf>
    <xf numFmtId="0" fontId="7" fillId="0" borderId="0" xfId="0" applyFont="1" applyAlignment="1">
      <alignment horizontal="center" vertical="center"/>
    </xf>
    <xf numFmtId="0" fontId="8" fillId="0" borderId="0" xfId="0" applyFont="1" applyAlignment="1">
      <alignment horizontal="center" vertical="center"/>
    </xf>
    <xf numFmtId="9" fontId="7" fillId="0" borderId="0" xfId="59" applyFont="1" applyFill="1" applyBorder="1" applyAlignment="1" applyProtection="1">
      <alignment horizontal="center" wrapText="1"/>
      <protection/>
    </xf>
    <xf numFmtId="0" fontId="7" fillId="0" borderId="0" xfId="0" applyFont="1" applyFill="1" applyAlignment="1">
      <alignment horizontal="center" vertical="center"/>
    </xf>
    <xf numFmtId="0" fontId="9" fillId="0" borderId="0" xfId="0" applyFont="1" applyAlignment="1">
      <alignment vertical="center"/>
    </xf>
    <xf numFmtId="9" fontId="7" fillId="33" borderId="0" xfId="59" applyFont="1" applyFill="1" applyBorder="1" applyAlignment="1" applyProtection="1">
      <alignment horizontal="center" wrapText="1"/>
      <protection/>
    </xf>
    <xf numFmtId="0" fontId="7" fillId="33" borderId="0" xfId="0" applyFont="1" applyFill="1" applyAlignment="1">
      <alignment horizontal="center" vertical="center"/>
    </xf>
    <xf numFmtId="0" fontId="7" fillId="33" borderId="0" xfId="0" applyNumberFormat="1" applyFont="1" applyFill="1" applyBorder="1" applyAlignment="1" applyProtection="1">
      <alignment horizontal="center" wrapText="1"/>
      <protection/>
    </xf>
    <xf numFmtId="3" fontId="7" fillId="0" borderId="0" xfId="0" applyNumberFormat="1" applyFont="1" applyAlignment="1">
      <alignment horizontal="center" vertical="center"/>
    </xf>
    <xf numFmtId="0" fontId="8" fillId="0" borderId="0" xfId="0" applyNumberFormat="1" applyFont="1" applyFill="1" applyBorder="1" applyAlignment="1" applyProtection="1">
      <alignment/>
      <protection/>
    </xf>
    <xf numFmtId="176" fontId="7" fillId="33" borderId="0" xfId="42" applyNumberFormat="1" applyFont="1" applyFill="1" applyBorder="1" applyAlignment="1" applyProtection="1">
      <alignment horizontal="center" wrapText="1"/>
      <protection/>
    </xf>
    <xf numFmtId="3" fontId="7" fillId="0" borderId="0" xfId="0" applyNumberFormat="1" applyFont="1" applyFill="1" applyAlignment="1">
      <alignment horizontal="center" vertical="center"/>
    </xf>
    <xf numFmtId="0" fontId="0" fillId="33" borderId="0" xfId="0" applyFill="1" applyAlignment="1">
      <alignment horizontal="center" vertical="center"/>
    </xf>
    <xf numFmtId="176" fontId="7" fillId="0" borderId="0" xfId="42" applyNumberFormat="1" applyFont="1" applyFill="1" applyBorder="1" applyAlignment="1" applyProtection="1">
      <alignment horizontal="center" wrapText="1"/>
      <protection/>
    </xf>
    <xf numFmtId="3" fontId="7" fillId="0" borderId="0" xfId="42" applyNumberFormat="1" applyFont="1" applyFill="1" applyBorder="1" applyAlignment="1" applyProtection="1">
      <alignment horizontal="center" wrapText="1"/>
      <protection/>
    </xf>
    <xf numFmtId="3" fontId="7" fillId="0" borderId="0" xfId="42" applyNumberFormat="1" applyFont="1" applyFill="1" applyAlignment="1">
      <alignment horizontal="center" vertical="center"/>
    </xf>
    <xf numFmtId="182" fontId="7" fillId="0" borderId="0" xfId="44" applyNumberFormat="1" applyFont="1" applyFill="1" applyBorder="1" applyAlignment="1" applyProtection="1">
      <alignment horizontal="center" wrapText="1"/>
      <protection/>
    </xf>
    <xf numFmtId="182" fontId="7" fillId="0" borderId="0" xfId="0" applyNumberFormat="1" applyFont="1" applyFill="1" applyBorder="1" applyAlignment="1" applyProtection="1">
      <alignment horizontal="center" wrapText="1"/>
      <protection/>
    </xf>
    <xf numFmtId="0" fontId="8" fillId="0" borderId="0" xfId="0" applyFont="1" applyFill="1" applyAlignment="1">
      <alignment horizontal="center" vertical="center"/>
    </xf>
    <xf numFmtId="182" fontId="7" fillId="0" borderId="0" xfId="0" applyNumberFormat="1" applyFont="1" applyFill="1" applyAlignment="1">
      <alignment horizontal="center" vertical="center"/>
    </xf>
    <xf numFmtId="0" fontId="7" fillId="0" borderId="10" xfId="0" applyNumberFormat="1" applyFont="1" applyFill="1" applyBorder="1" applyAlignment="1" applyProtection="1">
      <alignment wrapText="1"/>
      <protection/>
    </xf>
    <xf numFmtId="0" fontId="7" fillId="0" borderId="10" xfId="0" applyFont="1" applyBorder="1" applyAlignment="1">
      <alignment horizontal="center" vertical="center"/>
    </xf>
    <xf numFmtId="0" fontId="7" fillId="0" borderId="11" xfId="0" applyNumberFormat="1" applyFont="1" applyFill="1" applyBorder="1" applyAlignment="1" applyProtection="1">
      <alignment horizontal="center" wrapText="1"/>
      <protection/>
    </xf>
    <xf numFmtId="3" fontId="7" fillId="0" borderId="11" xfId="0" applyNumberFormat="1" applyFont="1" applyFill="1" applyBorder="1" applyAlignment="1" applyProtection="1">
      <alignment horizontal="center" wrapText="1"/>
      <protection/>
    </xf>
    <xf numFmtId="0" fontId="7" fillId="0" borderId="11" xfId="0" applyFont="1" applyBorder="1" applyAlignment="1">
      <alignment vertical="center"/>
    </xf>
    <xf numFmtId="0" fontId="7" fillId="0" borderId="12" xfId="0" applyFont="1" applyBorder="1" applyAlignment="1">
      <alignment vertical="center"/>
    </xf>
    <xf numFmtId="177" fontId="7" fillId="0" borderId="0" xfId="42" applyNumberFormat="1" applyFont="1" applyFill="1" applyBorder="1" applyAlignment="1" applyProtection="1">
      <alignment horizontal="center" wrapText="1"/>
      <protection/>
    </xf>
    <xf numFmtId="3" fontId="8" fillId="0" borderId="0" xfId="42" applyNumberFormat="1" applyFont="1" applyFill="1" applyBorder="1" applyAlignment="1" applyProtection="1">
      <alignment horizontal="center" wrapText="1"/>
      <protection/>
    </xf>
    <xf numFmtId="182" fontId="8" fillId="0" borderId="0" xfId="0" applyNumberFormat="1" applyFont="1" applyFill="1" applyBorder="1" applyAlignment="1" applyProtection="1">
      <alignment horizontal="center" wrapText="1"/>
      <protection/>
    </xf>
    <xf numFmtId="0" fontId="3" fillId="0" borderId="0" xfId="0" applyFont="1" applyAlignment="1">
      <alignment vertical="center"/>
    </xf>
    <xf numFmtId="0" fontId="0" fillId="0" borderId="0" xfId="0" applyAlignment="1">
      <alignment horizontal="center" vertical="center"/>
    </xf>
    <xf numFmtId="3" fontId="0" fillId="0" borderId="0" xfId="0" applyNumberFormat="1" applyAlignment="1">
      <alignment horizontal="center" vertical="center"/>
    </xf>
    <xf numFmtId="0" fontId="3" fillId="0" borderId="0" xfId="0" applyFont="1" applyAlignment="1">
      <alignment horizontal="center" vertical="center"/>
    </xf>
    <xf numFmtId="185" fontId="0" fillId="0" borderId="0" xfId="59" applyNumberFormat="1" applyFont="1" applyAlignment="1">
      <alignment horizontal="center" vertical="center"/>
    </xf>
    <xf numFmtId="10" fontId="0" fillId="33" borderId="0" xfId="0" applyNumberFormat="1" applyFill="1" applyAlignment="1">
      <alignment vertical="center"/>
    </xf>
    <xf numFmtId="0" fontId="7" fillId="0" borderId="10" xfId="0" applyFont="1" applyFill="1" applyBorder="1" applyAlignment="1">
      <alignment horizontal="center" vertical="center"/>
    </xf>
    <xf numFmtId="0" fontId="7" fillId="0" borderId="11" xfId="0" applyFont="1" applyFill="1" applyBorder="1" applyAlignment="1">
      <alignment vertical="center"/>
    </xf>
    <xf numFmtId="0" fontId="7" fillId="0" borderId="12" xfId="0" applyFont="1" applyFill="1" applyBorder="1" applyAlignment="1">
      <alignment vertical="center"/>
    </xf>
    <xf numFmtId="3" fontId="8" fillId="34" borderId="0" xfId="42" applyNumberFormat="1" applyFont="1" applyFill="1" applyBorder="1" applyAlignment="1" applyProtection="1">
      <alignment horizontal="center" wrapText="1"/>
      <protection/>
    </xf>
    <xf numFmtId="177" fontId="8" fillId="35" borderId="0" xfId="42" applyNumberFormat="1" applyFont="1" applyFill="1" applyBorder="1" applyAlignment="1" applyProtection="1">
      <alignment horizontal="center" wrapText="1"/>
      <protection/>
    </xf>
    <xf numFmtId="3" fontId="8" fillId="35" borderId="0" xfId="0" applyNumberFormat="1" applyFont="1" applyFill="1" applyAlignment="1">
      <alignment horizontal="center" vertical="center"/>
    </xf>
    <xf numFmtId="4" fontId="8" fillId="35" borderId="0" xfId="0" applyNumberFormat="1" applyFont="1" applyFill="1" applyBorder="1" applyAlignment="1" applyProtection="1">
      <alignment horizontal="center" wrapText="1"/>
      <protection/>
    </xf>
    <xf numFmtId="3" fontId="8" fillId="35" borderId="0" xfId="0" applyNumberFormat="1" applyFont="1" applyFill="1" applyBorder="1" applyAlignment="1" applyProtection="1">
      <alignment horizontal="center" wrapText="1"/>
      <protection/>
    </xf>
    <xf numFmtId="0" fontId="0" fillId="36" borderId="0" xfId="0" applyFill="1" applyAlignment="1">
      <alignment vertical="center"/>
    </xf>
    <xf numFmtId="0" fontId="0" fillId="0" borderId="0" xfId="0" applyFont="1" applyAlignment="1">
      <alignment vertical="center"/>
    </xf>
    <xf numFmtId="3" fontId="0" fillId="0" borderId="0" xfId="0" applyNumberFormat="1" applyFont="1" applyAlignment="1">
      <alignment horizontal="center" vertical="center"/>
    </xf>
    <xf numFmtId="185" fontId="0" fillId="0" borderId="0" xfId="59" applyNumberFormat="1" applyFont="1" applyAlignment="1">
      <alignment horizontal="center" vertical="center"/>
    </xf>
    <xf numFmtId="4" fontId="0" fillId="0" borderId="0" xfId="0" applyNumberFormat="1" applyFont="1" applyAlignment="1">
      <alignment horizontal="center" vertical="center"/>
    </xf>
    <xf numFmtId="0" fontId="0" fillId="33" borderId="0" xfId="0" applyFill="1" applyAlignment="1">
      <alignment vertical="center"/>
    </xf>
    <xf numFmtId="8" fontId="3" fillId="33" borderId="0" xfId="0" applyNumberFormat="1" applyFont="1" applyFill="1" applyAlignment="1">
      <alignment horizontal="center" vertical="center"/>
    </xf>
    <xf numFmtId="186" fontId="3" fillId="0" borderId="0" xfId="0" applyNumberFormat="1" applyFont="1" applyAlignment="1">
      <alignment horizontal="center" vertical="center"/>
    </xf>
    <xf numFmtId="0" fontId="0" fillId="0" borderId="0" xfId="0" applyFont="1" applyAlignment="1">
      <alignment horizontal="center" vertical="center"/>
    </xf>
    <xf numFmtId="186" fontId="3" fillId="33" borderId="0" xfId="0" applyNumberFormat="1" applyFont="1" applyFill="1" applyAlignment="1">
      <alignment horizontal="center" vertical="center"/>
    </xf>
    <xf numFmtId="8" fontId="0" fillId="0" borderId="0" xfId="0" applyNumberFormat="1" applyFont="1" applyFill="1" applyAlignment="1">
      <alignment horizontal="center" vertical="center"/>
    </xf>
    <xf numFmtId="182" fontId="7" fillId="0" borderId="0" xfId="42" applyNumberFormat="1" applyFont="1" applyFill="1" applyBorder="1" applyAlignment="1" applyProtection="1">
      <alignment horizontal="center" wrapText="1"/>
      <protection/>
    </xf>
    <xf numFmtId="182" fontId="8" fillId="35" borderId="0" xfId="0" applyNumberFormat="1" applyFont="1" applyFill="1" applyAlignment="1">
      <alignment horizontal="center" vertical="center"/>
    </xf>
    <xf numFmtId="182" fontId="8" fillId="34" borderId="0" xfId="42" applyNumberFormat="1" applyFont="1" applyFill="1" applyBorder="1" applyAlignment="1" applyProtection="1">
      <alignment horizontal="center" wrapText="1"/>
      <protection/>
    </xf>
    <xf numFmtId="182" fontId="8" fillId="0" borderId="0" xfId="42" applyNumberFormat="1" applyFont="1" applyFill="1" applyBorder="1" applyAlignment="1" applyProtection="1">
      <alignment horizontal="center" wrapText="1"/>
      <protection/>
    </xf>
    <xf numFmtId="182" fontId="8" fillId="35" borderId="0" xfId="42" applyNumberFormat="1" applyFont="1" applyFill="1" applyBorder="1" applyAlignment="1" applyProtection="1">
      <alignment horizontal="center" wrapText="1"/>
      <protection/>
    </xf>
    <xf numFmtId="180" fontId="8" fillId="35" borderId="0" xfId="42" applyNumberFormat="1" applyFont="1" applyFill="1" applyBorder="1" applyAlignment="1" applyProtection="1">
      <alignment horizontal="center" wrapText="1"/>
      <protection/>
    </xf>
    <xf numFmtId="182" fontId="8" fillId="34" borderId="0" xfId="0" applyNumberFormat="1" applyFont="1" applyFill="1" applyBorder="1" applyAlignment="1" applyProtection="1">
      <alignment horizontal="center" wrapText="1"/>
      <protection/>
    </xf>
    <xf numFmtId="177" fontId="8" fillId="35" borderId="0" xfId="0" applyNumberFormat="1" applyFont="1" applyFill="1" applyAlignment="1">
      <alignment horizontal="center" vertical="center"/>
    </xf>
    <xf numFmtId="0" fontId="8" fillId="34" borderId="0" xfId="0" applyNumberFormat="1" applyFont="1" applyFill="1" applyBorder="1" applyAlignment="1" applyProtection="1">
      <alignment horizontal="center" wrapText="1"/>
      <protection/>
    </xf>
    <xf numFmtId="0" fontId="10" fillId="0" borderId="0" xfId="0" applyFont="1" applyAlignment="1">
      <alignment vertical="center"/>
    </xf>
    <xf numFmtId="3" fontId="0" fillId="0" borderId="0" xfId="0" applyNumberFormat="1" applyAlignment="1">
      <alignment horizontal="right" vertical="center"/>
    </xf>
    <xf numFmtId="0" fontId="0" fillId="0" borderId="0" xfId="0" applyAlignment="1">
      <alignment horizontal="right" vertical="center"/>
    </xf>
    <xf numFmtId="182" fontId="0" fillId="0" borderId="0" xfId="0" applyNumberFormat="1" applyAlignment="1">
      <alignment horizontal="right" vertical="center"/>
    </xf>
    <xf numFmtId="0" fontId="7" fillId="36" borderId="0" xfId="0" applyFont="1" applyFill="1" applyAlignment="1">
      <alignment horizontal="center" vertical="center"/>
    </xf>
    <xf numFmtId="0" fontId="7" fillId="36" borderId="0" xfId="0" applyFont="1" applyFill="1" applyAlignment="1">
      <alignment vertical="center"/>
    </xf>
    <xf numFmtId="177" fontId="7" fillId="0" borderId="0" xfId="0" applyNumberFormat="1" applyFont="1" applyFill="1" applyBorder="1" applyAlignment="1" applyProtection="1">
      <alignment horizontal="center" wrapText="1"/>
      <protection/>
    </xf>
    <xf numFmtId="177" fontId="8" fillId="34" borderId="0" xfId="0" applyNumberFormat="1" applyFont="1" applyFill="1" applyBorder="1" applyAlignment="1" applyProtection="1">
      <alignment horizontal="center" wrapText="1"/>
      <protection/>
    </xf>
    <xf numFmtId="0" fontId="11" fillId="0" borderId="0" xfId="0" applyNumberFormat="1" applyFont="1" applyFill="1" applyBorder="1" applyAlignment="1" applyProtection="1">
      <alignment/>
      <protection/>
    </xf>
    <xf numFmtId="0" fontId="11" fillId="0" borderId="0" xfId="0" applyNumberFormat="1" applyFont="1" applyFill="1" applyBorder="1" applyAlignment="1" applyProtection="1">
      <alignment wrapText="1"/>
      <protection/>
    </xf>
    <xf numFmtId="180" fontId="0" fillId="0" borderId="0" xfId="0" applyNumberFormat="1" applyAlignment="1">
      <alignment horizontal="right" vertical="center"/>
    </xf>
    <xf numFmtId="6" fontId="0" fillId="0" borderId="0" xfId="0" applyNumberFormat="1" applyAlignment="1">
      <alignment vertical="center"/>
    </xf>
    <xf numFmtId="6" fontId="0" fillId="33" borderId="0" xfId="0" applyNumberFormat="1" applyFill="1" applyAlignment="1">
      <alignment vertical="center"/>
    </xf>
    <xf numFmtId="182" fontId="0" fillId="0" borderId="0" xfId="0" applyNumberFormat="1" applyAlignment="1">
      <alignment vertical="center"/>
    </xf>
    <xf numFmtId="0" fontId="0" fillId="0" borderId="0" xfId="0" applyAlignment="1">
      <alignment vertical="center" wrapText="1"/>
    </xf>
    <xf numFmtId="44" fontId="0" fillId="0" borderId="0" xfId="44" applyNumberFormat="1" applyFont="1" applyAlignment="1">
      <alignment vertical="center"/>
    </xf>
    <xf numFmtId="9" fontId="0" fillId="37" borderId="0" xfId="0" applyNumberFormat="1" applyFill="1" applyAlignment="1">
      <alignment horizontal="center" vertical="center"/>
    </xf>
    <xf numFmtId="9" fontId="0" fillId="37" borderId="0" xfId="0" applyNumberFormat="1" applyFill="1" applyAlignment="1">
      <alignment vertical="center"/>
    </xf>
    <xf numFmtId="0" fontId="0" fillId="0" borderId="0" xfId="0" applyNumberFormat="1" applyAlignment="1">
      <alignment vertical="center"/>
    </xf>
    <xf numFmtId="0" fontId="0" fillId="0" borderId="0" xfId="42" applyNumberFormat="1" applyFont="1" applyAlignment="1">
      <alignment vertical="center"/>
    </xf>
    <xf numFmtId="0" fontId="0" fillId="0" borderId="0" xfId="44" applyNumberFormat="1" applyFont="1" applyAlignment="1">
      <alignment vertical="center"/>
    </xf>
    <xf numFmtId="0" fontId="0" fillId="37" borderId="0" xfId="44" applyNumberFormat="1" applyFont="1" applyFill="1" applyAlignment="1">
      <alignment vertical="center"/>
    </xf>
    <xf numFmtId="44" fontId="0" fillId="0" borderId="0" xfId="44" applyNumberFormat="1" applyFont="1" applyFill="1" applyAlignment="1">
      <alignment vertical="center"/>
    </xf>
    <xf numFmtId="0" fontId="0" fillId="0" borderId="0" xfId="44" applyNumberFormat="1" applyFont="1" applyFill="1" applyAlignment="1">
      <alignment vertical="center"/>
    </xf>
    <xf numFmtId="0" fontId="7" fillId="0" borderId="0" xfId="0" applyNumberFormat="1" applyFont="1" applyFill="1" applyBorder="1" applyAlignment="1" applyProtection="1">
      <alignment horizontal="right" wrapText="1"/>
      <protection/>
    </xf>
    <xf numFmtId="0" fontId="0" fillId="37" borderId="0" xfId="0" applyFill="1" applyAlignment="1">
      <alignment vertical="center"/>
    </xf>
    <xf numFmtId="0" fontId="0" fillId="0" borderId="0" xfId="0" applyFill="1" applyAlignment="1">
      <alignment vertical="center" wrapText="1"/>
    </xf>
    <xf numFmtId="44" fontId="0" fillId="0" borderId="0" xfId="0" applyNumberFormat="1" applyAlignment="1">
      <alignment vertical="center"/>
    </xf>
    <xf numFmtId="0" fontId="0" fillId="36" borderId="0" xfId="0" applyFill="1" applyAlignment="1">
      <alignment horizontal="center" vertical="center"/>
    </xf>
    <xf numFmtId="0" fontId="14" fillId="0" borderId="0" xfId="0" applyFont="1" applyAlignment="1">
      <alignment horizontal="center" vertical="center"/>
    </xf>
    <xf numFmtId="0" fontId="0" fillId="0" borderId="13"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8" fillId="0" borderId="0" xfId="0" applyFont="1" applyBorder="1" applyAlignment="1">
      <alignment horizontal="center" wrapText="1"/>
    </xf>
    <xf numFmtId="0" fontId="7" fillId="0" borderId="0" xfId="0" applyFont="1" applyBorder="1" applyAlignment="1">
      <alignment vertical="center"/>
    </xf>
    <xf numFmtId="0" fontId="0" fillId="0" borderId="11" xfId="0" applyBorder="1" applyAlignment="1">
      <alignment vertical="center"/>
    </xf>
    <xf numFmtId="0" fontId="0" fillId="37" borderId="0" xfId="0" applyFill="1" applyBorder="1" applyAlignment="1">
      <alignment vertical="center"/>
    </xf>
    <xf numFmtId="0" fontId="7" fillId="0" borderId="0" xfId="0" applyFont="1" applyBorder="1" applyAlignment="1">
      <alignment horizontal="center" wrapText="1"/>
    </xf>
    <xf numFmtId="0" fontId="7" fillId="38" borderId="0" xfId="0" applyFont="1" applyFill="1" applyBorder="1" applyAlignment="1">
      <alignment horizontal="center" wrapText="1"/>
    </xf>
    <xf numFmtId="0" fontId="0" fillId="0" borderId="0" xfId="0" applyFill="1" applyBorder="1" applyAlignment="1">
      <alignment vertical="center"/>
    </xf>
    <xf numFmtId="0" fontId="7" fillId="0" borderId="14" xfId="0" applyNumberFormat="1" applyFont="1" applyFill="1" applyBorder="1" applyAlignment="1" applyProtection="1">
      <alignment wrapText="1"/>
      <protection/>
    </xf>
    <xf numFmtId="0" fontId="7" fillId="0" borderId="0" xfId="0" applyFont="1" applyFill="1" applyBorder="1" applyAlignment="1">
      <alignment horizontal="center" vertical="center"/>
    </xf>
    <xf numFmtId="0" fontId="7" fillId="33" borderId="0" xfId="0" applyFont="1" applyFill="1" applyBorder="1" applyAlignment="1">
      <alignment horizontal="center" vertical="center"/>
    </xf>
    <xf numFmtId="0" fontId="0" fillId="0" borderId="15" xfId="0" applyBorder="1" applyAlignment="1">
      <alignment vertical="center"/>
    </xf>
    <xf numFmtId="0" fontId="0" fillId="0" borderId="10" xfId="0" applyBorder="1" applyAlignment="1">
      <alignment vertical="center"/>
    </xf>
    <xf numFmtId="0" fontId="0" fillId="0" borderId="12" xfId="0" applyBorder="1" applyAlignment="1">
      <alignment vertical="center"/>
    </xf>
    <xf numFmtId="0" fontId="7" fillId="0" borderId="0" xfId="0" applyFont="1" applyFill="1" applyBorder="1" applyAlignment="1">
      <alignment vertical="center"/>
    </xf>
    <xf numFmtId="0" fontId="9" fillId="0" borderId="16" xfId="0" applyFont="1" applyBorder="1" applyAlignment="1">
      <alignment horizontal="center" wrapText="1"/>
    </xf>
    <xf numFmtId="0" fontId="9" fillId="0" borderId="17" xfId="0" applyFont="1" applyBorder="1" applyAlignment="1">
      <alignment horizontal="center" wrapText="1"/>
    </xf>
    <xf numFmtId="0" fontId="9" fillId="36" borderId="17" xfId="0" applyFont="1" applyFill="1" applyBorder="1" applyAlignment="1">
      <alignment horizontal="center" wrapText="1"/>
    </xf>
    <xf numFmtId="0" fontId="9" fillId="0" borderId="18" xfId="0" applyFont="1" applyBorder="1" applyAlignment="1">
      <alignment horizontal="center" wrapText="1"/>
    </xf>
    <xf numFmtId="0" fontId="17" fillId="0" borderId="19" xfId="0" applyFont="1" applyBorder="1" applyAlignment="1">
      <alignment vertical="center"/>
    </xf>
    <xf numFmtId="44" fontId="17" fillId="0" borderId="0" xfId="44" applyFont="1" applyBorder="1" applyAlignment="1">
      <alignment vertical="center"/>
    </xf>
    <xf numFmtId="44" fontId="17" fillId="36" borderId="0" xfId="44" applyFont="1" applyFill="1" applyBorder="1" applyAlignment="1">
      <alignment vertical="center"/>
    </xf>
    <xf numFmtId="44" fontId="17" fillId="0" borderId="20" xfId="44" applyFont="1" applyBorder="1" applyAlignment="1">
      <alignment vertical="center"/>
    </xf>
    <xf numFmtId="0" fontId="17" fillId="0" borderId="21" xfId="0" applyFont="1" applyBorder="1" applyAlignment="1">
      <alignment vertical="center"/>
    </xf>
    <xf numFmtId="44" fontId="17" fillId="0" borderId="22" xfId="44" applyFont="1" applyBorder="1" applyAlignment="1">
      <alignment vertical="center"/>
    </xf>
    <xf numFmtId="44" fontId="17" fillId="36" borderId="22" xfId="44" applyFont="1" applyFill="1" applyBorder="1" applyAlignment="1">
      <alignment vertical="center"/>
    </xf>
    <xf numFmtId="44" fontId="17" fillId="0" borderId="23" xfId="44" applyFont="1" applyBorder="1" applyAlignment="1">
      <alignment vertical="center"/>
    </xf>
    <xf numFmtId="9" fontId="0" fillId="37" borderId="0" xfId="0" applyNumberFormat="1" applyFill="1" applyBorder="1" applyAlignment="1">
      <alignment vertical="center"/>
    </xf>
    <xf numFmtId="0" fontId="7" fillId="0" borderId="13" xfId="0" applyNumberFormat="1" applyFont="1" applyFill="1" applyBorder="1" applyAlignment="1" applyProtection="1">
      <alignment wrapText="1"/>
      <protection/>
    </xf>
    <xf numFmtId="0" fontId="3" fillId="0" borderId="14" xfId="0" applyFont="1" applyBorder="1" applyAlignment="1">
      <alignment vertical="center"/>
    </xf>
    <xf numFmtId="0" fontId="0" fillId="0" borderId="0" xfId="0" applyBorder="1" applyAlignment="1">
      <alignment horizontal="center" vertical="center"/>
    </xf>
    <xf numFmtId="0" fontId="0" fillId="0" borderId="0" xfId="0" applyBorder="1" applyAlignment="1">
      <alignment horizontal="right" vertical="center"/>
    </xf>
    <xf numFmtId="9" fontId="0" fillId="37" borderId="0" xfId="0" applyNumberFormat="1" applyFill="1" applyBorder="1" applyAlignment="1">
      <alignment horizontal="center" vertical="center"/>
    </xf>
    <xf numFmtId="0" fontId="0" fillId="0" borderId="11" xfId="0" applyBorder="1" applyAlignment="1">
      <alignment horizontal="center" vertical="center"/>
    </xf>
    <xf numFmtId="0" fontId="0" fillId="33" borderId="0" xfId="0" applyFill="1" applyBorder="1" applyAlignment="1">
      <alignment vertical="center"/>
    </xf>
    <xf numFmtId="6" fontId="0" fillId="33" borderId="0" xfId="0" applyNumberFormat="1" applyFill="1" applyBorder="1" applyAlignment="1">
      <alignment vertical="center"/>
    </xf>
    <xf numFmtId="0" fontId="3" fillId="0" borderId="0" xfId="0" applyFont="1" applyBorder="1" applyAlignment="1">
      <alignment vertical="center"/>
    </xf>
    <xf numFmtId="0" fontId="0" fillId="0" borderId="0" xfId="0" applyNumberFormat="1" applyBorder="1" applyAlignment="1">
      <alignment vertical="center"/>
    </xf>
    <xf numFmtId="0" fontId="0" fillId="37" borderId="0" xfId="44" applyNumberFormat="1" applyFont="1" applyFill="1" applyBorder="1" applyAlignment="1">
      <alignment vertical="center"/>
    </xf>
    <xf numFmtId="0" fontId="0" fillId="0" borderId="10" xfId="0" applyFill="1" applyBorder="1" applyAlignment="1">
      <alignment vertical="center"/>
    </xf>
    <xf numFmtId="0" fontId="8" fillId="0" borderId="14" xfId="0" applyNumberFormat="1" applyFont="1" applyFill="1" applyBorder="1" applyAlignment="1" applyProtection="1">
      <alignment horizontal="center" wrapText="1"/>
      <protection/>
    </xf>
    <xf numFmtId="0" fontId="7" fillId="0" borderId="14" xfId="0" applyNumberFormat="1" applyFont="1" applyFill="1" applyBorder="1" applyAlignment="1" applyProtection="1">
      <alignment horizontal="center" wrapText="1"/>
      <protection/>
    </xf>
    <xf numFmtId="0" fontId="0" fillId="37" borderId="14" xfId="0" applyFill="1" applyBorder="1" applyAlignment="1">
      <alignment horizontal="center" vertical="center"/>
    </xf>
    <xf numFmtId="0" fontId="0" fillId="0" borderId="14" xfId="0" applyNumberFormat="1" applyBorder="1" applyAlignment="1">
      <alignment vertical="center"/>
    </xf>
    <xf numFmtId="0" fontId="17" fillId="0" borderId="0" xfId="0" applyFont="1" applyBorder="1" applyAlignment="1">
      <alignment vertical="center"/>
    </xf>
    <xf numFmtId="0" fontId="17" fillId="0" borderId="16" xfId="0" applyFont="1" applyBorder="1" applyAlignment="1">
      <alignment vertical="center"/>
    </xf>
    <xf numFmtId="44" fontId="17" fillId="0" borderId="17" xfId="44" applyFont="1" applyBorder="1" applyAlignment="1">
      <alignment vertical="center"/>
    </xf>
    <xf numFmtId="44" fontId="17" fillId="0" borderId="18" xfId="44" applyFont="1"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0" xfId="0" applyBorder="1" applyAlignment="1">
      <alignment horizontal="center" vertical="center"/>
    </xf>
    <xf numFmtId="0" fontId="0" fillId="0" borderId="11" xfId="0" applyBorder="1" applyAlignment="1">
      <alignment horizontal="center" vertical="center"/>
    </xf>
    <xf numFmtId="0" fontId="16" fillId="0" borderId="24" xfId="0" applyFont="1" applyBorder="1" applyAlignment="1">
      <alignment horizontal="center" vertical="center"/>
    </xf>
    <xf numFmtId="0" fontId="0" fillId="0" borderId="25" xfId="0" applyBorder="1" applyAlignment="1">
      <alignment horizontal="center" vertical="center"/>
    </xf>
    <xf numFmtId="0" fontId="15" fillId="0" borderId="24" xfId="0" applyFont="1" applyBorder="1" applyAlignment="1">
      <alignment horizontal="center" vertical="center"/>
    </xf>
    <xf numFmtId="0" fontId="0" fillId="0" borderId="0" xfId="0" applyAlignment="1">
      <alignment horizontal="center" vertical="center"/>
    </xf>
    <xf numFmtId="0" fontId="14" fillId="0" borderId="0" xfId="0" applyFont="1" applyAlignment="1">
      <alignment horizontal="center" vertical="center"/>
    </xf>
    <xf numFmtId="0" fontId="16" fillId="0" borderId="25" xfId="0" applyFont="1" applyBorder="1" applyAlignment="1">
      <alignment horizontal="center" vertical="center"/>
    </xf>
    <xf numFmtId="0" fontId="9" fillId="33" borderId="0" xfId="0" applyFont="1" applyFill="1" applyAlignment="1">
      <alignment horizontal="left" vertical="center"/>
    </xf>
    <xf numFmtId="0" fontId="9" fillId="0" borderId="0" xfId="0" applyFont="1" applyAlignment="1">
      <alignment vertical="center"/>
    </xf>
    <xf numFmtId="0" fontId="8" fillId="0" borderId="0" xfId="0" applyNumberFormat="1" applyFont="1" applyFill="1" applyBorder="1" applyAlignment="1" applyProtection="1">
      <alignmen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CCFFCC"/>
      <rgbColor rgb="00FF0000"/>
      <rgbColor rgb="00FFFF99"/>
      <rgbColor rgb="00FFFFFF"/>
      <rgbColor rgb="00E1C7E1"/>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M78"/>
  <sheetViews>
    <sheetView tabSelected="1" zoomScalePageLayoutView="0" workbookViewId="0" topLeftCell="A1">
      <selection activeCell="A115" sqref="A115"/>
    </sheetView>
  </sheetViews>
  <sheetFormatPr defaultColWidth="11.421875" defaultRowHeight="12.75"/>
  <cols>
    <col min="1" max="1" width="28.421875" style="0" bestFit="1" customWidth="1"/>
    <col min="2" max="2" width="18.8515625" style="0" customWidth="1"/>
    <col min="3" max="3" width="19.421875" style="0" customWidth="1"/>
    <col min="4" max="5" width="15.421875" style="0" customWidth="1"/>
    <col min="6" max="6" width="16.140625" style="0" customWidth="1"/>
    <col min="7" max="7" width="9.140625" style="1" customWidth="1"/>
    <col min="8" max="8" width="15.7109375" style="0" customWidth="1"/>
    <col min="9" max="10" width="16.28125" style="0" customWidth="1"/>
    <col min="11" max="11" width="17.140625" style="0" customWidth="1"/>
    <col min="12" max="12" width="15.140625" style="0" customWidth="1"/>
  </cols>
  <sheetData>
    <row r="1" spans="1:7" ht="12.75">
      <c r="A1" t="s">
        <v>23</v>
      </c>
      <c r="G1" s="52"/>
    </row>
    <row r="2" spans="1:7" ht="12.75">
      <c r="A2" t="s">
        <v>30</v>
      </c>
      <c r="G2" s="52"/>
    </row>
    <row r="3" spans="1:12" ht="12.75">
      <c r="A3" t="str">
        <f>IF('Costs by Model'!A7=1,"Future","Current")</f>
        <v>Future</v>
      </c>
      <c r="B3" s="159" t="s">
        <v>31</v>
      </c>
      <c r="C3" s="159"/>
      <c r="D3" s="159"/>
      <c r="E3" s="159"/>
      <c r="F3" s="159"/>
      <c r="G3" s="100"/>
      <c r="H3" s="159" t="s">
        <v>29</v>
      </c>
      <c r="I3" s="159"/>
      <c r="J3" s="159"/>
      <c r="K3" s="159"/>
      <c r="L3" s="159"/>
    </row>
    <row r="4" spans="2:11" ht="13.5" thickBot="1">
      <c r="B4" s="159" t="s">
        <v>24</v>
      </c>
      <c r="C4" s="159"/>
      <c r="D4" s="159"/>
      <c r="E4" s="159"/>
      <c r="F4" s="39"/>
      <c r="G4" s="100"/>
      <c r="H4" s="159" t="s">
        <v>24</v>
      </c>
      <c r="I4" s="159"/>
      <c r="J4" s="159"/>
      <c r="K4" s="159"/>
    </row>
    <row r="5" spans="1:12" ht="47.25">
      <c r="A5" s="119" t="s">
        <v>243</v>
      </c>
      <c r="B5" s="120" t="s">
        <v>108</v>
      </c>
      <c r="C5" s="120" t="s">
        <v>110</v>
      </c>
      <c r="D5" s="120" t="s">
        <v>111</v>
      </c>
      <c r="E5" s="120" t="s">
        <v>261</v>
      </c>
      <c r="F5" s="120" t="s">
        <v>244</v>
      </c>
      <c r="G5" s="121"/>
      <c r="H5" s="120" t="s">
        <v>108</v>
      </c>
      <c r="I5" s="120" t="s">
        <v>110</v>
      </c>
      <c r="J5" s="120" t="s">
        <v>111</v>
      </c>
      <c r="K5" s="120" t="s">
        <v>261</v>
      </c>
      <c r="L5" s="122" t="s">
        <v>25</v>
      </c>
    </row>
    <row r="6" spans="1:12" ht="15">
      <c r="A6" s="123" t="s">
        <v>43</v>
      </c>
      <c r="B6" s="124">
        <f>'Costs by Model'!E60</f>
        <v>23201.348125</v>
      </c>
      <c r="C6" s="124">
        <f>'Costs by Model'!F60</f>
        <v>72494.796875</v>
      </c>
      <c r="D6" s="124">
        <f>'Costs by Model'!G60</f>
        <v>243793.75</v>
      </c>
      <c r="E6" s="124">
        <f>'Costs by Model'!H60</f>
        <v>553243.75</v>
      </c>
      <c r="F6" s="124">
        <f>'Costs by Model'!I61</f>
        <v>0</v>
      </c>
      <c r="G6" s="125"/>
      <c r="H6" s="124">
        <f>B6-B6</f>
        <v>0</v>
      </c>
      <c r="I6" s="124">
        <f>C6-C6</f>
        <v>0</v>
      </c>
      <c r="J6" s="124">
        <f>D6-D6</f>
        <v>0</v>
      </c>
      <c r="K6" s="124">
        <f>E6-E6</f>
        <v>0</v>
      </c>
      <c r="L6" s="126">
        <f>F6-F6</f>
        <v>0</v>
      </c>
    </row>
    <row r="7" spans="1:12" ht="15">
      <c r="A7" s="123" t="s">
        <v>44</v>
      </c>
      <c r="B7" s="124">
        <f>'Costs by Model'!L60</f>
        <v>20001.348125</v>
      </c>
      <c r="C7" s="124">
        <f>'Costs by Model'!M60</f>
        <v>56994.796875</v>
      </c>
      <c r="D7" s="124">
        <f>'Costs by Model'!N60</f>
        <v>188793.75</v>
      </c>
      <c r="E7" s="124">
        <f>'Costs by Model'!O60</f>
        <v>463243.75</v>
      </c>
      <c r="F7" s="124">
        <f>'Costs by Model'!P61</f>
        <v>166200</v>
      </c>
      <c r="G7" s="125"/>
      <c r="H7" s="124">
        <f>B7-B6</f>
        <v>-3200</v>
      </c>
      <c r="I7" s="124">
        <f>C7-C6</f>
        <v>-15500</v>
      </c>
      <c r="J7" s="124">
        <f>D7-D6</f>
        <v>-55000</v>
      </c>
      <c r="K7" s="124">
        <f>E7-E6</f>
        <v>-90000</v>
      </c>
      <c r="L7" s="126">
        <f>F7-F6</f>
        <v>166200</v>
      </c>
    </row>
    <row r="8" spans="1:12" ht="15">
      <c r="A8" s="123" t="s">
        <v>45</v>
      </c>
      <c r="B8" s="124">
        <f>'Costs by Model'!S60</f>
        <v>12400.016851562501</v>
      </c>
      <c r="C8" s="124">
        <f>'Costs by Model'!T60</f>
        <v>20087.744637096774</v>
      </c>
      <c r="D8" s="124">
        <f>'Costs by Model'!U60</f>
        <v>55177.17727272728</v>
      </c>
      <c r="E8" s="124">
        <f>'Costs by Model'!V60</f>
        <v>77126.64166666666</v>
      </c>
      <c r="F8" s="124">
        <f>'Costs by Model'!W61</f>
        <v>577133.645</v>
      </c>
      <c r="G8" s="125"/>
      <c r="H8" s="124">
        <f>B8-B6</f>
        <v>-10801.3312734375</v>
      </c>
      <c r="I8" s="124">
        <f>C8-C6</f>
        <v>-52407.052237903226</v>
      </c>
      <c r="J8" s="124">
        <f>D8-D6</f>
        <v>-188616.57272727272</v>
      </c>
      <c r="K8" s="124">
        <f>E8-E6</f>
        <v>-476117.10833333334</v>
      </c>
      <c r="L8" s="126">
        <f>F8-F6</f>
        <v>577133.645</v>
      </c>
    </row>
    <row r="9" spans="1:12" ht="15.75" thickBot="1">
      <c r="A9" s="127" t="s">
        <v>141</v>
      </c>
      <c r="B9" s="128">
        <f>'Costs by Model'!Z60</f>
        <v>12401.348125</v>
      </c>
      <c r="C9" s="128">
        <f>'Costs by Model'!AA60</f>
        <v>20182.296875</v>
      </c>
      <c r="D9" s="128">
        <f>'Costs by Model'!AB60</f>
        <v>58168.75</v>
      </c>
      <c r="E9" s="128">
        <f>'Costs by Model'!AC60</f>
        <v>249493.75</v>
      </c>
      <c r="F9" s="128">
        <f>'Costs by Model'!AD61</f>
        <v>401600</v>
      </c>
      <c r="G9" s="129"/>
      <c r="H9" s="128">
        <f>B9-B6</f>
        <v>-10800</v>
      </c>
      <c r="I9" s="128">
        <f>C9-C6</f>
        <v>-52312.5</v>
      </c>
      <c r="J9" s="128">
        <f>D9-D6</f>
        <v>-185625</v>
      </c>
      <c r="K9" s="128">
        <f>E9-E6</f>
        <v>-303750</v>
      </c>
      <c r="L9" s="130">
        <f>F9-F6</f>
        <v>401600</v>
      </c>
    </row>
    <row r="10" spans="1:12" ht="15.75" thickBot="1">
      <c r="A10" s="148"/>
      <c r="B10" s="124"/>
      <c r="C10" s="124"/>
      <c r="D10" s="124"/>
      <c r="E10" s="124"/>
      <c r="F10" s="124"/>
      <c r="G10" s="124"/>
      <c r="H10" s="124"/>
      <c r="I10" s="124"/>
      <c r="J10" s="124"/>
      <c r="K10" s="124"/>
      <c r="L10" s="124"/>
    </row>
    <row r="11" spans="1:12" ht="15">
      <c r="A11" s="149" t="s">
        <v>8</v>
      </c>
      <c r="B11" s="150"/>
      <c r="C11" s="150"/>
      <c r="D11" s="150"/>
      <c r="E11" s="151"/>
      <c r="F11" s="124"/>
      <c r="G11" s="124"/>
      <c r="H11" s="124"/>
      <c r="I11" s="124"/>
      <c r="J11" s="124"/>
      <c r="K11" s="124"/>
      <c r="L11" s="124"/>
    </row>
    <row r="12" spans="1:12" ht="15">
      <c r="A12" s="123"/>
      <c r="B12" s="124"/>
      <c r="C12" s="124"/>
      <c r="D12" s="124"/>
      <c r="E12" s="126"/>
      <c r="F12" s="124"/>
      <c r="G12" s="124"/>
      <c r="H12" s="124"/>
      <c r="I12" s="124"/>
      <c r="J12" s="124"/>
      <c r="K12" s="124"/>
      <c r="L12" s="124"/>
    </row>
    <row r="13" spans="1:12" ht="15">
      <c r="A13" s="123" t="s">
        <v>9</v>
      </c>
      <c r="B13" s="124" t="s">
        <v>12</v>
      </c>
      <c r="C13" s="124" t="s">
        <v>10</v>
      </c>
      <c r="D13" s="124"/>
      <c r="E13" s="126"/>
      <c r="F13" s="124"/>
      <c r="G13" s="124"/>
      <c r="H13" s="124"/>
      <c r="I13" s="124"/>
      <c r="J13" s="124"/>
      <c r="K13" s="124"/>
      <c r="L13" s="124"/>
    </row>
    <row r="14" spans="1:12" ht="15">
      <c r="A14" s="123" t="str">
        <f>A6</f>
        <v>Protocol Standardization</v>
      </c>
      <c r="B14" s="124">
        <f>F6+G$24*E6+F$24*D6+E$24*C6+D$24*B6</f>
        <v>21841335</v>
      </c>
      <c r="C14" s="124"/>
      <c r="D14" s="124"/>
      <c r="E14" s="126"/>
      <c r="F14" s="124"/>
      <c r="G14" s="124"/>
      <c r="H14" s="124"/>
      <c r="I14" s="124"/>
      <c r="J14" s="124"/>
      <c r="K14" s="124"/>
      <c r="L14" s="124"/>
    </row>
    <row r="15" spans="1:12" ht="15">
      <c r="A15" s="123" t="str">
        <f>A7</f>
        <v>ZFAPP Clearinghouse</v>
      </c>
      <c r="B15" s="124">
        <f>F7+G$24*E7+F$24*D7+E$24*C7+D$24*B7</f>
        <v>18217535</v>
      </c>
      <c r="C15" s="124">
        <f>B15-B14</f>
        <v>-3623800</v>
      </c>
      <c r="D15" s="124"/>
      <c r="E15" s="126"/>
      <c r="F15" s="124"/>
      <c r="G15" s="124"/>
      <c r="H15" s="124"/>
      <c r="I15" s="124"/>
      <c r="J15" s="124"/>
      <c r="K15" s="124"/>
      <c r="L15" s="124"/>
    </row>
    <row r="16" spans="1:12" ht="15">
      <c r="A16" s="123" t="str">
        <f>A8</f>
        <v>ZFAPP Repository</v>
      </c>
      <c r="B16" s="124">
        <f>F8+G$24*E8+F$24*D8+E$24*C8+D$24*B8</f>
        <v>9414814.948884867</v>
      </c>
      <c r="C16" s="124">
        <f>B16-B14</f>
        <v>-12426520.051115133</v>
      </c>
      <c r="D16" s="124"/>
      <c r="E16" s="126"/>
      <c r="F16" s="124"/>
      <c r="G16" s="124"/>
      <c r="H16" s="124"/>
      <c r="I16" s="124"/>
      <c r="J16" s="124"/>
      <c r="K16" s="124"/>
      <c r="L16" s="124"/>
    </row>
    <row r="17" spans="1:7" ht="15.75" thickBot="1">
      <c r="A17" s="127" t="str">
        <f>A9</f>
        <v>ZFAPP Proxy</v>
      </c>
      <c r="B17" s="128">
        <f>F9+G$24*E9+F$24*D9+E$24*C9+D$24*B9</f>
        <v>9451685</v>
      </c>
      <c r="C17" s="128">
        <f>B17-B14</f>
        <v>-12389650</v>
      </c>
      <c r="D17" s="152"/>
      <c r="E17" s="153"/>
      <c r="G17"/>
    </row>
    <row r="18" spans="1:12" ht="21.75">
      <c r="A18" s="160" t="s">
        <v>276</v>
      </c>
      <c r="B18" s="160"/>
      <c r="C18" s="160"/>
      <c r="D18" s="159"/>
      <c r="E18" s="159"/>
      <c r="F18" s="159"/>
      <c r="G18" s="159"/>
      <c r="H18" s="159"/>
      <c r="I18" s="159"/>
      <c r="J18" s="159"/>
      <c r="K18" s="159"/>
      <c r="L18" s="159"/>
    </row>
    <row r="19" spans="1:12" ht="12" customHeight="1">
      <c r="A19" s="101"/>
      <c r="B19" s="101"/>
      <c r="C19" s="101"/>
      <c r="D19" s="39"/>
      <c r="E19" s="39"/>
      <c r="F19" s="39"/>
      <c r="G19" s="39"/>
      <c r="H19" s="39"/>
      <c r="I19" s="39"/>
      <c r="J19" s="39"/>
      <c r="K19" s="39"/>
      <c r="L19" s="39"/>
    </row>
    <row r="20" spans="1:13" ht="19.5" customHeight="1">
      <c r="A20" s="156" t="s">
        <v>240</v>
      </c>
      <c r="B20" s="161"/>
      <c r="C20" s="161"/>
      <c r="D20" s="161"/>
      <c r="E20" s="161"/>
      <c r="F20" s="161"/>
      <c r="G20" s="161"/>
      <c r="H20" s="161"/>
      <c r="I20" s="161"/>
      <c r="J20" s="161"/>
      <c r="K20" s="161"/>
      <c r="L20" s="161"/>
      <c r="M20" s="102"/>
    </row>
    <row r="21" spans="1:13" ht="24">
      <c r="A21" s="103" t="s">
        <v>275</v>
      </c>
      <c r="B21" s="104"/>
      <c r="C21" s="105" t="s">
        <v>112</v>
      </c>
      <c r="D21" s="105" t="s">
        <v>108</v>
      </c>
      <c r="E21" s="105" t="s">
        <v>110</v>
      </c>
      <c r="F21" s="105" t="s">
        <v>111</v>
      </c>
      <c r="G21" s="105" t="s">
        <v>261</v>
      </c>
      <c r="H21" s="105" t="s">
        <v>277</v>
      </c>
      <c r="I21" s="106" t="s">
        <v>84</v>
      </c>
      <c r="J21" s="104"/>
      <c r="K21" s="104"/>
      <c r="L21" s="104"/>
      <c r="M21" s="107"/>
    </row>
    <row r="22" spans="1:13" ht="12.75">
      <c r="A22" s="103" t="s">
        <v>278</v>
      </c>
      <c r="B22" s="108">
        <v>1</v>
      </c>
      <c r="C22" s="109" t="s">
        <v>197</v>
      </c>
      <c r="D22" s="110">
        <v>4</v>
      </c>
      <c r="E22" s="110">
        <v>6</v>
      </c>
      <c r="F22" s="110">
        <v>3</v>
      </c>
      <c r="G22" s="110">
        <v>1</v>
      </c>
      <c r="H22" s="109">
        <f>SUM(D22:G22)</f>
        <v>14</v>
      </c>
      <c r="I22" s="106" t="s">
        <v>279</v>
      </c>
      <c r="J22" s="104"/>
      <c r="K22" s="104"/>
      <c r="L22" s="104"/>
      <c r="M22" s="107"/>
    </row>
    <row r="23" spans="1:13" ht="12.75">
      <c r="A23" s="103"/>
      <c r="B23" s="104"/>
      <c r="C23" s="109" t="s">
        <v>109</v>
      </c>
      <c r="D23" s="110">
        <v>500</v>
      </c>
      <c r="E23" s="110">
        <v>100</v>
      </c>
      <c r="F23" s="110">
        <v>10</v>
      </c>
      <c r="G23" s="110">
        <v>1</v>
      </c>
      <c r="H23" s="109">
        <f>SUM(D23:G23)</f>
        <v>611</v>
      </c>
      <c r="I23" s="106" t="s">
        <v>35</v>
      </c>
      <c r="J23" s="104"/>
      <c r="K23" s="104"/>
      <c r="L23" s="104"/>
      <c r="M23" s="107"/>
    </row>
    <row r="24" spans="1:13" ht="12.75">
      <c r="A24" s="103"/>
      <c r="B24" s="104"/>
      <c r="C24" s="109" t="s">
        <v>11</v>
      </c>
      <c r="D24" s="110">
        <f>IF($B22,D23,D22)</f>
        <v>500</v>
      </c>
      <c r="E24" s="110">
        <f>IF($B22,E23,E22)</f>
        <v>100</v>
      </c>
      <c r="F24" s="110">
        <f>IF($B22,F23,F22)</f>
        <v>10</v>
      </c>
      <c r="G24" s="110">
        <f>IF($B22,G23,G22)</f>
        <v>1</v>
      </c>
      <c r="H24" s="109"/>
      <c r="I24" s="106"/>
      <c r="J24" s="104"/>
      <c r="K24" s="104"/>
      <c r="L24" s="104"/>
      <c r="M24" s="107"/>
    </row>
    <row r="25" spans="1:13" ht="12.75">
      <c r="A25" s="103" t="s">
        <v>239</v>
      </c>
      <c r="B25" s="131">
        <v>0.2</v>
      </c>
      <c r="C25" s="104"/>
      <c r="D25" s="104"/>
      <c r="E25" s="104"/>
      <c r="F25" s="111"/>
      <c r="G25" s="104"/>
      <c r="H25" s="104"/>
      <c r="I25" s="106" t="s">
        <v>136</v>
      </c>
      <c r="J25" s="104"/>
      <c r="K25" s="104"/>
      <c r="L25" s="104"/>
      <c r="M25" s="107"/>
    </row>
    <row r="26" spans="1:13" ht="12.75">
      <c r="A26" s="103"/>
      <c r="B26" s="104"/>
      <c r="C26" s="104"/>
      <c r="D26" s="104"/>
      <c r="E26" s="104"/>
      <c r="F26" s="104"/>
      <c r="G26" s="111"/>
      <c r="H26" s="104"/>
      <c r="I26" s="104"/>
      <c r="J26" s="106"/>
      <c r="K26" s="104"/>
      <c r="L26" s="104"/>
      <c r="M26" s="107"/>
    </row>
    <row r="27" spans="1:13" ht="12.75">
      <c r="A27" s="112" t="s">
        <v>245</v>
      </c>
      <c r="B27" s="3" t="s">
        <v>108</v>
      </c>
      <c r="C27" s="113"/>
      <c r="D27" s="14">
        <v>0.02</v>
      </c>
      <c r="E27" s="14">
        <v>0.05</v>
      </c>
      <c r="F27" s="14">
        <v>0.5</v>
      </c>
      <c r="G27" s="14">
        <v>1</v>
      </c>
      <c r="H27" s="118"/>
      <c r="I27" s="106" t="s">
        <v>242</v>
      </c>
      <c r="J27" s="104"/>
      <c r="K27" s="104"/>
      <c r="L27" s="104"/>
      <c r="M27" s="107"/>
    </row>
    <row r="28" spans="1:13" ht="12.75">
      <c r="A28" s="103"/>
      <c r="B28" s="2" t="s">
        <v>54</v>
      </c>
      <c r="C28" s="114">
        <v>500</v>
      </c>
      <c r="D28" s="8">
        <f aca="true" t="shared" si="0" ref="D28:G29">ROUND(D$27*D22*$C28,0)</f>
        <v>40</v>
      </c>
      <c r="E28" s="8">
        <f t="shared" si="0"/>
        <v>150</v>
      </c>
      <c r="F28" s="8">
        <f t="shared" si="0"/>
        <v>750</v>
      </c>
      <c r="G28" s="8">
        <f t="shared" si="0"/>
        <v>500</v>
      </c>
      <c r="H28" s="118"/>
      <c r="I28" s="106"/>
      <c r="J28" s="104"/>
      <c r="K28" s="104"/>
      <c r="L28" s="104"/>
      <c r="M28" s="107"/>
    </row>
    <row r="29" spans="1:13" ht="12.75">
      <c r="A29" s="103"/>
      <c r="B29" s="2" t="s">
        <v>55</v>
      </c>
      <c r="C29" s="114">
        <v>1500</v>
      </c>
      <c r="D29" s="8">
        <f t="shared" si="0"/>
        <v>15000</v>
      </c>
      <c r="E29" s="8">
        <f t="shared" si="0"/>
        <v>7500</v>
      </c>
      <c r="F29" s="8">
        <f t="shared" si="0"/>
        <v>7500</v>
      </c>
      <c r="G29" s="8">
        <f t="shared" si="0"/>
        <v>1500</v>
      </c>
      <c r="H29" s="118"/>
      <c r="I29" s="106" t="s">
        <v>138</v>
      </c>
      <c r="J29" s="104"/>
      <c r="K29" s="104"/>
      <c r="L29" s="104"/>
      <c r="M29" s="107"/>
    </row>
    <row r="30" spans="1:13" ht="12.75">
      <c r="A30" s="103"/>
      <c r="B30" s="2"/>
      <c r="C30" s="113"/>
      <c r="D30" s="6"/>
      <c r="E30" s="6"/>
      <c r="F30" s="6"/>
      <c r="G30" s="6"/>
      <c r="H30" s="118"/>
      <c r="I30" s="106" t="s">
        <v>139</v>
      </c>
      <c r="J30" s="104"/>
      <c r="K30" s="104"/>
      <c r="L30" s="104"/>
      <c r="M30" s="107"/>
    </row>
    <row r="31" spans="1:13" ht="12.75">
      <c r="A31" s="103"/>
      <c r="B31" s="3" t="s">
        <v>110</v>
      </c>
      <c r="C31" s="113"/>
      <c r="D31" s="14">
        <v>0.05</v>
      </c>
      <c r="E31" s="14">
        <v>0.25</v>
      </c>
      <c r="F31" s="14">
        <v>0.75</v>
      </c>
      <c r="G31" s="14">
        <v>1</v>
      </c>
      <c r="H31" s="118"/>
      <c r="I31" s="106" t="s">
        <v>142</v>
      </c>
      <c r="J31" s="104"/>
      <c r="K31" s="104"/>
      <c r="L31" s="104"/>
      <c r="M31" s="107"/>
    </row>
    <row r="32" spans="1:13" ht="12.75">
      <c r="A32" s="103"/>
      <c r="B32" s="2" t="s">
        <v>197</v>
      </c>
      <c r="C32" s="16">
        <v>200</v>
      </c>
      <c r="D32" s="8">
        <f aca="true" t="shared" si="1" ref="D32:G33">ROUND(D$31*D22*$C32,0)</f>
        <v>40</v>
      </c>
      <c r="E32" s="8">
        <f t="shared" si="1"/>
        <v>300</v>
      </c>
      <c r="F32" s="8">
        <f t="shared" si="1"/>
        <v>450</v>
      </c>
      <c r="G32" s="8">
        <f t="shared" si="1"/>
        <v>200</v>
      </c>
      <c r="H32" s="118"/>
      <c r="I32" s="106" t="s">
        <v>143</v>
      </c>
      <c r="J32" s="104"/>
      <c r="K32" s="104"/>
      <c r="L32" s="104"/>
      <c r="M32" s="107"/>
    </row>
    <row r="33" spans="1:13" ht="12.75">
      <c r="A33" s="103"/>
      <c r="B33" s="2" t="s">
        <v>109</v>
      </c>
      <c r="C33" s="16">
        <v>500</v>
      </c>
      <c r="D33" s="8">
        <f t="shared" si="1"/>
        <v>12500</v>
      </c>
      <c r="E33" s="8">
        <f t="shared" si="1"/>
        <v>12500</v>
      </c>
      <c r="F33" s="8">
        <f t="shared" si="1"/>
        <v>3750</v>
      </c>
      <c r="G33" s="8">
        <f t="shared" si="1"/>
        <v>500</v>
      </c>
      <c r="H33" s="118"/>
      <c r="I33" s="106" t="s">
        <v>144</v>
      </c>
      <c r="J33" s="104"/>
      <c r="K33" s="104"/>
      <c r="L33" s="104"/>
      <c r="M33" s="107"/>
    </row>
    <row r="34" spans="1:13" ht="12.75">
      <c r="A34" s="103"/>
      <c r="B34" s="2"/>
      <c r="C34" s="113"/>
      <c r="D34" s="6"/>
      <c r="E34" s="6"/>
      <c r="F34" s="6"/>
      <c r="G34" s="6"/>
      <c r="H34" s="118"/>
      <c r="I34" s="106" t="s">
        <v>206</v>
      </c>
      <c r="J34" s="104"/>
      <c r="K34" s="104"/>
      <c r="L34" s="104"/>
      <c r="M34" s="107"/>
    </row>
    <row r="35" spans="1:13" ht="12.75">
      <c r="A35" s="103"/>
      <c r="B35" s="3" t="s">
        <v>111</v>
      </c>
      <c r="C35" s="113"/>
      <c r="D35" s="14">
        <v>0.1</v>
      </c>
      <c r="E35" s="14">
        <v>0.75</v>
      </c>
      <c r="F35" s="14">
        <v>1</v>
      </c>
      <c r="G35" s="14">
        <v>1</v>
      </c>
      <c r="H35" s="118"/>
      <c r="I35" s="106"/>
      <c r="J35" s="104"/>
      <c r="K35" s="104"/>
      <c r="L35" s="104"/>
      <c r="M35" s="107"/>
    </row>
    <row r="36" spans="1:13" ht="12.75">
      <c r="A36" s="103"/>
      <c r="B36" s="2" t="s">
        <v>197</v>
      </c>
      <c r="C36" s="16">
        <v>100</v>
      </c>
      <c r="D36" s="8">
        <f aca="true" t="shared" si="2" ref="D36:G37">ROUND(D$35*D22*$C36,0)</f>
        <v>40</v>
      </c>
      <c r="E36" s="8">
        <f t="shared" si="2"/>
        <v>450</v>
      </c>
      <c r="F36" s="8">
        <f t="shared" si="2"/>
        <v>300</v>
      </c>
      <c r="G36" s="8">
        <f t="shared" si="2"/>
        <v>100</v>
      </c>
      <c r="H36" s="118"/>
      <c r="I36" s="106"/>
      <c r="J36" s="104"/>
      <c r="K36" s="104"/>
      <c r="L36" s="104"/>
      <c r="M36" s="107"/>
    </row>
    <row r="37" spans="1:13" ht="12.75">
      <c r="A37" s="103"/>
      <c r="B37" s="2" t="s">
        <v>109</v>
      </c>
      <c r="C37" s="16">
        <v>250</v>
      </c>
      <c r="D37" s="8">
        <f t="shared" si="2"/>
        <v>12500</v>
      </c>
      <c r="E37" s="8">
        <f t="shared" si="2"/>
        <v>18750</v>
      </c>
      <c r="F37" s="8">
        <f t="shared" si="2"/>
        <v>2500</v>
      </c>
      <c r="G37" s="8">
        <f t="shared" si="2"/>
        <v>250</v>
      </c>
      <c r="H37" s="118"/>
      <c r="I37" s="106"/>
      <c r="J37" s="104"/>
      <c r="K37" s="104"/>
      <c r="L37" s="104"/>
      <c r="M37" s="107"/>
    </row>
    <row r="38" spans="1:13" ht="12.75">
      <c r="A38" s="115"/>
      <c r="B38" s="29"/>
      <c r="C38" s="29"/>
      <c r="D38" s="29"/>
      <c r="E38" s="29"/>
      <c r="F38" s="29"/>
      <c r="G38" s="29"/>
      <c r="H38" s="29"/>
      <c r="I38" s="29"/>
      <c r="J38" s="29"/>
      <c r="K38" s="116"/>
      <c r="L38" s="116"/>
      <c r="M38" s="117"/>
    </row>
    <row r="39" spans="2:9" ht="12.75">
      <c r="B39" s="2"/>
      <c r="C39" s="2"/>
      <c r="D39" s="2"/>
      <c r="E39" s="2"/>
      <c r="F39" s="2"/>
      <c r="G39" s="2"/>
      <c r="H39" s="2"/>
      <c r="I39" s="2"/>
    </row>
    <row r="40" spans="1:9" ht="20.25">
      <c r="A40" s="156" t="s">
        <v>241</v>
      </c>
      <c r="B40" s="157"/>
      <c r="C40" s="157"/>
      <c r="D40" s="157"/>
      <c r="E40" s="157"/>
      <c r="F40" s="157"/>
      <c r="G40" s="157"/>
      <c r="H40" s="157"/>
      <c r="I40" s="132"/>
    </row>
    <row r="41" spans="1:9" ht="12.75">
      <c r="A41" s="103"/>
      <c r="B41" s="104"/>
      <c r="C41" s="104"/>
      <c r="D41" s="104"/>
      <c r="E41" s="104"/>
      <c r="F41" s="104"/>
      <c r="G41" s="111"/>
      <c r="H41" s="104"/>
      <c r="I41" s="107"/>
    </row>
    <row r="42" spans="1:9" ht="12.75">
      <c r="A42" s="103" t="s">
        <v>280</v>
      </c>
      <c r="B42" s="104"/>
      <c r="C42" s="104"/>
      <c r="D42" s="104"/>
      <c r="E42" s="104" t="s">
        <v>282</v>
      </c>
      <c r="F42" s="104"/>
      <c r="G42" s="111"/>
      <c r="H42" s="104"/>
      <c r="I42" s="107"/>
    </row>
    <row r="43" spans="1:9" ht="12.75">
      <c r="A43" s="103"/>
      <c r="B43" s="104"/>
      <c r="C43" s="104"/>
      <c r="D43" s="104"/>
      <c r="E43" s="104"/>
      <c r="F43" s="104"/>
      <c r="G43" s="111"/>
      <c r="H43" s="104"/>
      <c r="I43" s="107"/>
    </row>
    <row r="44" spans="1:9" ht="12.75">
      <c r="A44" s="103" t="s">
        <v>281</v>
      </c>
      <c r="B44" s="104"/>
      <c r="C44" s="104" t="s">
        <v>114</v>
      </c>
      <c r="D44" s="104"/>
      <c r="E44" s="154" t="s">
        <v>44</v>
      </c>
      <c r="F44" s="154"/>
      <c r="G44" s="154"/>
      <c r="H44" s="154"/>
      <c r="I44" s="155"/>
    </row>
    <row r="45" spans="1:9" ht="12.75">
      <c r="A45" s="133" t="s">
        <v>217</v>
      </c>
      <c r="B45" s="104"/>
      <c r="C45" s="104" t="s">
        <v>234</v>
      </c>
      <c r="D45" s="104"/>
      <c r="E45" s="134"/>
      <c r="F45" s="104"/>
      <c r="G45" s="135" t="s">
        <v>238</v>
      </c>
      <c r="H45" s="136">
        <v>0.2</v>
      </c>
      <c r="I45" s="137"/>
    </row>
    <row r="46" spans="1:9" ht="12.75">
      <c r="A46" s="103" t="s">
        <v>212</v>
      </c>
      <c r="B46" s="104"/>
      <c r="C46" s="138">
        <v>0.2</v>
      </c>
      <c r="D46" s="104"/>
      <c r="E46" s="134"/>
      <c r="F46" s="104"/>
      <c r="G46" s="135" t="s">
        <v>237</v>
      </c>
      <c r="H46" s="136">
        <v>1.5</v>
      </c>
      <c r="I46" s="137"/>
    </row>
    <row r="47" spans="1:9" ht="12.75">
      <c r="A47" s="103" t="s">
        <v>213</v>
      </c>
      <c r="B47" s="104"/>
      <c r="C47" s="138">
        <v>0.2</v>
      </c>
      <c r="D47" s="104"/>
      <c r="E47" s="104"/>
      <c r="F47" s="104"/>
      <c r="G47" s="111"/>
      <c r="H47" s="104"/>
      <c r="I47" s="107"/>
    </row>
    <row r="48" spans="1:12" ht="12.75">
      <c r="A48" s="103" t="s">
        <v>214</v>
      </c>
      <c r="B48" s="104"/>
      <c r="C48" s="138">
        <v>0.2</v>
      </c>
      <c r="D48" s="104"/>
      <c r="E48" s="154" t="s">
        <v>27</v>
      </c>
      <c r="F48" s="154"/>
      <c r="G48" s="154"/>
      <c r="H48" s="154"/>
      <c r="I48" s="155"/>
      <c r="L48" s="2"/>
    </row>
    <row r="49" spans="1:9" ht="12.75">
      <c r="A49" s="103" t="s">
        <v>215</v>
      </c>
      <c r="B49" s="104"/>
      <c r="C49" s="138">
        <v>0.2</v>
      </c>
      <c r="D49" s="104"/>
      <c r="E49" s="134"/>
      <c r="F49" s="104"/>
      <c r="G49" s="135" t="s">
        <v>238</v>
      </c>
      <c r="H49" s="136">
        <v>0.1</v>
      </c>
      <c r="I49" s="137"/>
    </row>
    <row r="50" spans="1:9" ht="12.75">
      <c r="A50" s="103" t="s">
        <v>216</v>
      </c>
      <c r="B50" s="104"/>
      <c r="C50" s="138">
        <v>0.2</v>
      </c>
      <c r="D50" s="104"/>
      <c r="E50" s="134"/>
      <c r="F50" s="104"/>
      <c r="G50" s="135" t="s">
        <v>237</v>
      </c>
      <c r="H50" s="136">
        <v>2</v>
      </c>
      <c r="I50" s="137"/>
    </row>
    <row r="51" spans="1:9" ht="12.75">
      <c r="A51" s="103" t="s">
        <v>231</v>
      </c>
      <c r="B51" s="104"/>
      <c r="C51" s="104"/>
      <c r="D51" s="104"/>
      <c r="E51" s="104"/>
      <c r="F51" s="104"/>
      <c r="G51" s="111"/>
      <c r="H51" s="104"/>
      <c r="I51" s="107"/>
    </row>
    <row r="52" spans="1:12" ht="12.75">
      <c r="A52" s="103" t="s">
        <v>233</v>
      </c>
      <c r="B52" s="104"/>
      <c r="C52" s="104">
        <f>SUM(C46:C50)</f>
        <v>1</v>
      </c>
      <c r="D52" s="104"/>
      <c r="E52" s="154" t="s">
        <v>28</v>
      </c>
      <c r="F52" s="154"/>
      <c r="G52" s="154"/>
      <c r="H52" s="154"/>
      <c r="I52" s="155"/>
      <c r="L52" s="2"/>
    </row>
    <row r="53" spans="1:9" ht="12.75">
      <c r="A53" s="103"/>
      <c r="B53" s="104"/>
      <c r="C53" s="104"/>
      <c r="D53" s="104"/>
      <c r="E53" s="134"/>
      <c r="F53" s="104"/>
      <c r="G53" s="135" t="s">
        <v>238</v>
      </c>
      <c r="H53" s="136">
        <v>0.1</v>
      </c>
      <c r="I53" s="137"/>
    </row>
    <row r="54" spans="1:9" ht="12.75">
      <c r="A54" s="103"/>
      <c r="B54" s="104"/>
      <c r="C54" s="104"/>
      <c r="D54" s="104"/>
      <c r="E54" s="134"/>
      <c r="F54" s="104"/>
      <c r="G54" s="135" t="s">
        <v>237</v>
      </c>
      <c r="H54" s="136">
        <v>2</v>
      </c>
      <c r="I54" s="137"/>
    </row>
    <row r="55" spans="1:9" ht="12.75">
      <c r="A55" s="103" t="s">
        <v>114</v>
      </c>
      <c r="B55" s="104"/>
      <c r="C55" s="104"/>
      <c r="D55" s="104"/>
      <c r="E55" s="104"/>
      <c r="F55" s="104"/>
      <c r="G55" s="111"/>
      <c r="H55" s="104"/>
      <c r="I55" s="107"/>
    </row>
    <row r="56" spans="1:9" ht="12.75">
      <c r="A56" s="103" t="s">
        <v>232</v>
      </c>
      <c r="B56" s="104"/>
      <c r="C56" s="139">
        <v>50</v>
      </c>
      <c r="D56" s="104"/>
      <c r="E56" s="104"/>
      <c r="F56" s="104"/>
      <c r="G56" s="111"/>
      <c r="H56" s="104"/>
      <c r="I56" s="107"/>
    </row>
    <row r="57" spans="1:9" ht="12.75">
      <c r="A57" s="103"/>
      <c r="B57" s="104"/>
      <c r="C57" s="104"/>
      <c r="D57" s="104"/>
      <c r="E57" s="104"/>
      <c r="F57" s="104"/>
      <c r="G57" s="111"/>
      <c r="H57" s="104"/>
      <c r="I57" s="107"/>
    </row>
    <row r="58" spans="1:9" ht="12.75">
      <c r="A58" s="103"/>
      <c r="B58" s="104"/>
      <c r="C58" s="140" t="s">
        <v>246</v>
      </c>
      <c r="D58" s="104"/>
      <c r="E58" s="104"/>
      <c r="F58" s="104"/>
      <c r="G58" s="111"/>
      <c r="H58" s="104"/>
      <c r="I58" s="107"/>
    </row>
    <row r="59" spans="1:9" ht="24">
      <c r="A59" s="103"/>
      <c r="B59" s="141"/>
      <c r="C59" s="141"/>
      <c r="D59" s="105" t="s">
        <v>108</v>
      </c>
      <c r="E59" s="105" t="s">
        <v>110</v>
      </c>
      <c r="F59" s="105" t="s">
        <v>111</v>
      </c>
      <c r="G59" s="105" t="s">
        <v>261</v>
      </c>
      <c r="H59" s="104"/>
      <c r="I59" s="107"/>
    </row>
    <row r="60" spans="1:9" ht="12.75">
      <c r="A60" s="103"/>
      <c r="B60" s="104"/>
      <c r="C60" s="135" t="s">
        <v>247</v>
      </c>
      <c r="D60" s="142">
        <v>0.05</v>
      </c>
      <c r="E60" s="142">
        <v>0.05</v>
      </c>
      <c r="F60" s="142">
        <v>0.1</v>
      </c>
      <c r="G60" s="142">
        <v>0.1</v>
      </c>
      <c r="H60" s="104"/>
      <c r="I60" s="107"/>
    </row>
    <row r="61" spans="1:9" ht="12.75">
      <c r="A61" s="103"/>
      <c r="B61" s="104"/>
      <c r="C61" s="135" t="s">
        <v>91</v>
      </c>
      <c r="D61" s="142">
        <v>0.05</v>
      </c>
      <c r="E61" s="142">
        <v>0.05</v>
      </c>
      <c r="F61" s="142">
        <v>0.1</v>
      </c>
      <c r="G61" s="142">
        <v>0.1</v>
      </c>
      <c r="H61" s="104"/>
      <c r="I61" s="107"/>
    </row>
    <row r="62" spans="1:9" ht="12.75">
      <c r="A62" s="115"/>
      <c r="B62" s="116"/>
      <c r="C62" s="116"/>
      <c r="D62" s="116"/>
      <c r="E62" s="116"/>
      <c r="F62" s="116"/>
      <c r="G62" s="143"/>
      <c r="H62" s="116"/>
      <c r="I62" s="117"/>
    </row>
    <row r="63" ht="12.75"/>
    <row r="64" spans="1:6" ht="18.75">
      <c r="A64" s="158" t="s">
        <v>248</v>
      </c>
      <c r="B64" s="157"/>
      <c r="C64" s="157"/>
      <c r="D64" s="157"/>
      <c r="E64" s="157"/>
      <c r="F64" s="102"/>
    </row>
    <row r="65" spans="1:6" ht="12.75">
      <c r="A65" s="103"/>
      <c r="B65" s="104"/>
      <c r="C65" s="104"/>
      <c r="D65" s="104"/>
      <c r="E65" s="104"/>
      <c r="F65" s="107"/>
    </row>
    <row r="66" spans="1:6" ht="12.75">
      <c r="A66" s="144" t="s">
        <v>259</v>
      </c>
      <c r="B66" s="4" t="s">
        <v>108</v>
      </c>
      <c r="C66" s="4" t="s">
        <v>110</v>
      </c>
      <c r="D66" s="4" t="s">
        <v>111</v>
      </c>
      <c r="E66" s="4" t="s">
        <v>261</v>
      </c>
      <c r="F66" s="107"/>
    </row>
    <row r="67" spans="1:6" ht="12.75">
      <c r="A67" s="145" t="s">
        <v>197</v>
      </c>
      <c r="B67" s="19">
        <v>20000</v>
      </c>
      <c r="C67" s="19">
        <v>200000</v>
      </c>
      <c r="D67" s="19">
        <v>4000000</v>
      </c>
      <c r="E67" s="19">
        <v>105000000</v>
      </c>
      <c r="F67" s="107"/>
    </row>
    <row r="68" spans="1:6" ht="12.75">
      <c r="A68" s="145" t="s">
        <v>109</v>
      </c>
      <c r="B68" s="19">
        <v>50000</v>
      </c>
      <c r="C68" s="19">
        <v>500000</v>
      </c>
      <c r="D68" s="19">
        <v>10000000</v>
      </c>
      <c r="E68" s="19">
        <v>200000000</v>
      </c>
      <c r="F68" s="107"/>
    </row>
    <row r="69" spans="1:6" ht="12.75">
      <c r="A69" s="103"/>
      <c r="B69" s="104"/>
      <c r="C69" s="104"/>
      <c r="D69" s="104"/>
      <c r="E69" s="104"/>
      <c r="F69" s="107"/>
    </row>
    <row r="70" spans="1:6" ht="12.75">
      <c r="A70" s="103" t="s">
        <v>249</v>
      </c>
      <c r="B70" s="104"/>
      <c r="C70" s="104"/>
      <c r="D70" s="104"/>
      <c r="E70" s="104"/>
      <c r="F70" s="107"/>
    </row>
    <row r="71" spans="1:6" ht="12.75">
      <c r="A71" s="146">
        <v>25</v>
      </c>
      <c r="B71" s="104"/>
      <c r="C71" s="104"/>
      <c r="D71" s="104" t="s">
        <v>0</v>
      </c>
      <c r="E71" s="104"/>
      <c r="F71" s="107"/>
    </row>
    <row r="72" spans="1:6" ht="12.75">
      <c r="A72" s="103"/>
      <c r="B72" s="104"/>
      <c r="C72" s="104"/>
      <c r="D72" s="104"/>
      <c r="E72" s="104"/>
      <c r="F72" s="107" t="s">
        <v>4</v>
      </c>
    </row>
    <row r="73" spans="1:6" ht="12.75">
      <c r="A73" s="103" t="s">
        <v>257</v>
      </c>
      <c r="B73" s="104"/>
      <c r="C73" s="104"/>
      <c r="D73" s="104" t="s">
        <v>1</v>
      </c>
      <c r="E73" s="138">
        <v>12</v>
      </c>
      <c r="F73" s="107" t="s">
        <v>5</v>
      </c>
    </row>
    <row r="74" spans="1:6" ht="12.75">
      <c r="A74" s="146">
        <v>10</v>
      </c>
      <c r="B74" s="104"/>
      <c r="C74" s="104"/>
      <c r="D74" s="104" t="s">
        <v>2</v>
      </c>
      <c r="E74" s="138">
        <v>52</v>
      </c>
      <c r="F74" s="107" t="s">
        <v>6</v>
      </c>
    </row>
    <row r="75" spans="1:6" ht="12.75">
      <c r="A75" s="103"/>
      <c r="B75" s="104"/>
      <c r="C75" s="104"/>
      <c r="D75" s="111" t="s">
        <v>3</v>
      </c>
      <c r="E75" s="138">
        <v>365</v>
      </c>
      <c r="F75" s="107" t="s">
        <v>7</v>
      </c>
    </row>
    <row r="76" spans="1:6" ht="12.75">
      <c r="A76" s="147" t="s">
        <v>250</v>
      </c>
      <c r="B76" s="104"/>
      <c r="C76" s="104"/>
      <c r="D76" s="104"/>
      <c r="E76" s="104"/>
      <c r="F76" s="107"/>
    </row>
    <row r="77" spans="1:6" ht="12.75">
      <c r="A77" s="146">
        <v>0</v>
      </c>
      <c r="B77" s="104"/>
      <c r="C77" s="104"/>
      <c r="D77" s="104"/>
      <c r="E77" s="104"/>
      <c r="F77" s="107"/>
    </row>
    <row r="78" spans="1:6" ht="12.75">
      <c r="A78" s="115"/>
      <c r="B78" s="116"/>
      <c r="C78" s="116"/>
      <c r="D78" s="116"/>
      <c r="E78" s="116"/>
      <c r="F78" s="117"/>
    </row>
  </sheetData>
  <sheetProtection/>
  <mergeCells count="11">
    <mergeCell ref="B3:F3"/>
    <mergeCell ref="H4:K4"/>
    <mergeCell ref="H3:L3"/>
    <mergeCell ref="A18:L18"/>
    <mergeCell ref="A20:L20"/>
    <mergeCell ref="E44:I44"/>
    <mergeCell ref="E48:I48"/>
    <mergeCell ref="E52:I52"/>
    <mergeCell ref="A40:H40"/>
    <mergeCell ref="A64:E64"/>
    <mergeCell ref="B4:E4"/>
  </mergeCells>
  <printOptions/>
  <pageMargins left="0.75" right="0.75" top="1" bottom="1" header="0.5" footer="0.5"/>
  <pageSetup orientation="portrait"/>
  <legacyDrawing r:id="rId2"/>
</worksheet>
</file>

<file path=xl/worksheets/sheet10.xml><?xml version="1.0" encoding="utf-8"?>
<worksheet xmlns="http://schemas.openxmlformats.org/spreadsheetml/2006/main" xmlns:r="http://schemas.openxmlformats.org/officeDocument/2006/relationships">
  <dimension ref="A1:N84"/>
  <sheetViews>
    <sheetView zoomScale="125" zoomScaleNormal="125" zoomScalePageLayoutView="0" workbookViewId="0" topLeftCell="A1">
      <selection activeCell="C79" sqref="C79"/>
    </sheetView>
  </sheetViews>
  <sheetFormatPr defaultColWidth="12.00390625" defaultRowHeight="13.5" customHeight="1"/>
  <cols>
    <col min="1" max="9" width="12.00390625" style="0" customWidth="1"/>
    <col min="10" max="10" width="2.421875" style="52" customWidth="1"/>
    <col min="11" max="11" width="29.00390625" style="0" customWidth="1"/>
    <col min="12" max="12" width="8.28125" style="0" customWidth="1"/>
  </cols>
  <sheetData>
    <row r="1" spans="1:9" ht="13.5" customHeight="1">
      <c r="A1" s="162" t="s">
        <v>229</v>
      </c>
      <c r="B1" s="162"/>
      <c r="C1" s="162"/>
      <c r="D1" s="162"/>
      <c r="E1" s="162"/>
      <c r="F1" s="9"/>
      <c r="G1" s="9"/>
      <c r="H1" s="9"/>
      <c r="I1" s="9"/>
    </row>
    <row r="2" spans="1:9" ht="13.5" customHeight="1">
      <c r="A2" s="13" t="s">
        <v>267</v>
      </c>
      <c r="B2" s="5"/>
      <c r="C2" s="5"/>
      <c r="D2" s="5"/>
      <c r="E2" s="5"/>
      <c r="F2" s="5"/>
      <c r="G2" s="5"/>
      <c r="H2" s="5"/>
      <c r="I2" s="9"/>
    </row>
    <row r="3" spans="1:11" ht="13.5" customHeight="1">
      <c r="A3" s="5"/>
      <c r="B3" s="5"/>
      <c r="C3" s="5"/>
      <c r="D3" s="5"/>
      <c r="E3" s="5"/>
      <c r="F3" s="5"/>
      <c r="G3" s="5"/>
      <c r="H3" s="5"/>
      <c r="I3" s="9"/>
      <c r="K3" s="38" t="s">
        <v>196</v>
      </c>
    </row>
    <row r="4" spans="1:13" ht="13.5" customHeight="1">
      <c r="A4" s="6"/>
      <c r="B4" s="4" t="s">
        <v>115</v>
      </c>
      <c r="C4" s="4" t="s">
        <v>108</v>
      </c>
      <c r="D4" s="4" t="s">
        <v>110</v>
      </c>
      <c r="E4" s="4" t="s">
        <v>111</v>
      </c>
      <c r="F4" s="4" t="s">
        <v>261</v>
      </c>
      <c r="G4" s="4" t="s">
        <v>117</v>
      </c>
      <c r="H4" s="31"/>
      <c r="I4" s="10" t="s">
        <v>127</v>
      </c>
      <c r="K4" s="53"/>
      <c r="L4" s="53"/>
      <c r="M4" s="53"/>
    </row>
    <row r="5" spans="1:14" ht="13.5" customHeight="1">
      <c r="A5" s="6"/>
      <c r="B5" s="6"/>
      <c r="C5" s="22"/>
      <c r="D5" s="22"/>
      <c r="E5" s="22"/>
      <c r="F5" s="22"/>
      <c r="G5" s="6"/>
      <c r="H5" s="31"/>
      <c r="I5" s="27" t="s">
        <v>187</v>
      </c>
      <c r="K5" s="53" t="s">
        <v>151</v>
      </c>
      <c r="L5" s="53"/>
      <c r="M5" s="53"/>
      <c r="N5" s="41"/>
    </row>
    <row r="6" spans="1:14" ht="13.5" customHeight="1">
      <c r="A6" s="2"/>
      <c r="B6" s="6"/>
      <c r="C6" s="22"/>
      <c r="D6" s="22"/>
      <c r="E6" s="22"/>
      <c r="F6" s="22"/>
      <c r="G6" s="6"/>
      <c r="H6" s="31"/>
      <c r="I6" s="27" t="s">
        <v>188</v>
      </c>
      <c r="K6" s="53" t="s">
        <v>152</v>
      </c>
      <c r="L6" s="58">
        <v>0.1</v>
      </c>
      <c r="M6" s="53"/>
      <c r="N6" s="40"/>
    </row>
    <row r="7" spans="1:14" ht="13.5" customHeight="1">
      <c r="A7" s="2"/>
      <c r="B7" s="9"/>
      <c r="C7" s="6"/>
      <c r="D7" s="6"/>
      <c r="E7" s="6"/>
      <c r="F7" s="6"/>
      <c r="G7" s="6"/>
      <c r="H7" s="31"/>
      <c r="I7" s="27" t="s">
        <v>189</v>
      </c>
      <c r="K7" s="53" t="s">
        <v>153</v>
      </c>
      <c r="L7" s="56"/>
      <c r="M7" s="54"/>
      <c r="N7" s="40"/>
    </row>
    <row r="8" spans="1:14" ht="13.5" customHeight="1">
      <c r="A8" s="18" t="s">
        <v>198</v>
      </c>
      <c r="B8" s="9"/>
      <c r="C8" s="12"/>
      <c r="D8" s="12"/>
      <c r="E8" s="12"/>
      <c r="F8" s="12"/>
      <c r="G8" s="6"/>
      <c r="H8" s="31"/>
      <c r="I8" s="12"/>
      <c r="K8" s="53"/>
      <c r="L8" s="54"/>
      <c r="M8" s="54"/>
      <c r="N8" s="40"/>
    </row>
    <row r="9" spans="1:13" ht="13.5" customHeight="1">
      <c r="A9" s="3" t="s">
        <v>108</v>
      </c>
      <c r="B9" s="12"/>
      <c r="C9" s="11"/>
      <c r="D9" s="11"/>
      <c r="E9" s="11"/>
      <c r="F9" s="11"/>
      <c r="G9" s="6"/>
      <c r="H9" s="32"/>
      <c r="I9" s="12"/>
      <c r="K9" s="38"/>
      <c r="L9" s="59"/>
      <c r="M9" s="53"/>
    </row>
    <row r="10" spans="1:14" ht="13.5" customHeight="1">
      <c r="A10" s="2" t="s">
        <v>122</v>
      </c>
      <c r="B10" s="12"/>
      <c r="C10" s="63">
        <f>($L$6+$L$25)*'gBytes per year'!C10</f>
        <v>0.0612</v>
      </c>
      <c r="D10" s="63">
        <f>($L$6+$L$25)*'gBytes per year'!D10</f>
        <v>2.2950000000000004</v>
      </c>
      <c r="E10" s="63">
        <f>($L$6+$L$25)*'gBytes per year'!E10</f>
        <v>229.5</v>
      </c>
      <c r="F10" s="63">
        <f>($L$6+$L$25)*'gBytes per year'!F10</f>
        <v>4016.25</v>
      </c>
      <c r="G10" s="63">
        <f>SUM(C10:F10)</f>
        <v>4248.1062</v>
      </c>
      <c r="H10" s="32"/>
      <c r="I10" s="63">
        <f>($L$6+$L$25)*'gBytes per year'!I10</f>
        <v>4248.1062</v>
      </c>
      <c r="K10" s="53"/>
      <c r="L10" s="54"/>
      <c r="M10" s="54"/>
      <c r="N10" s="40"/>
    </row>
    <row r="11" spans="1:14" ht="13.5" customHeight="1">
      <c r="A11" s="2" t="s">
        <v>119</v>
      </c>
      <c r="B11" s="12"/>
      <c r="C11" s="63">
        <f>($L$6+$L$25)*'gBytes per year'!C11</f>
        <v>57.375</v>
      </c>
      <c r="D11" s="63">
        <f>($L$6+$L$25)*'gBytes per year'!D11</f>
        <v>286.875</v>
      </c>
      <c r="E11" s="63">
        <f>($L$6+$L$25)*'gBytes per year'!E11</f>
        <v>5737.5</v>
      </c>
      <c r="F11" s="63">
        <f>($L$6+$L$25)*'gBytes per year'!F11</f>
        <v>22950</v>
      </c>
      <c r="G11" s="63">
        <f>SUM(C11:F11)</f>
        <v>29031.75</v>
      </c>
      <c r="H11" s="32"/>
      <c r="I11" s="63">
        <f>($L$6+$L$25)*'gBytes per year'!I11</f>
        <v>29031.75</v>
      </c>
      <c r="K11" s="53"/>
      <c r="L11" s="54"/>
      <c r="M11" s="54"/>
      <c r="N11" s="40"/>
    </row>
    <row r="12" spans="1:13" ht="13.5" customHeight="1">
      <c r="A12" s="2"/>
      <c r="B12" s="12"/>
      <c r="C12" s="63"/>
      <c r="D12" s="63"/>
      <c r="E12" s="63"/>
      <c r="F12" s="63"/>
      <c r="G12" s="63"/>
      <c r="H12" s="32"/>
      <c r="I12" s="63"/>
      <c r="K12" s="53"/>
      <c r="L12" s="60"/>
      <c r="M12" s="53"/>
    </row>
    <row r="13" spans="1:14" ht="13.5" customHeight="1">
      <c r="A13" s="3" t="s">
        <v>110</v>
      </c>
      <c r="B13" s="12"/>
      <c r="C13" s="63"/>
      <c r="D13" s="63"/>
      <c r="E13" s="63"/>
      <c r="F13" s="63"/>
      <c r="G13" s="63"/>
      <c r="H13" s="32"/>
      <c r="I13" s="63"/>
      <c r="K13" s="38" t="s">
        <v>236</v>
      </c>
      <c r="L13" s="55"/>
      <c r="M13" s="55"/>
      <c r="N13" s="42"/>
    </row>
    <row r="14" spans="1:13" ht="13.5" customHeight="1">
      <c r="A14" s="2" t="s">
        <v>197</v>
      </c>
      <c r="B14" s="6"/>
      <c r="C14" s="63">
        <f>($L$6+$L$25)*'gBytes per year'!C14</f>
        <v>0.2652</v>
      </c>
      <c r="D14" s="63">
        <f>($L$6+$L$25)*'gBytes per year'!D14</f>
        <v>19.89</v>
      </c>
      <c r="E14" s="63">
        <f>($L$6+$L$25)*'gBytes per year'!E14</f>
        <v>596.7</v>
      </c>
      <c r="F14" s="63">
        <f>($L$6+$L$25)*'gBytes per year'!F14</f>
        <v>6961.5</v>
      </c>
      <c r="G14" s="63">
        <f>SUM(C14:F14)</f>
        <v>7578.3552</v>
      </c>
      <c r="H14" s="32"/>
      <c r="I14" s="63">
        <f>($L$6+$L$25)*'gBytes per year'!I14</f>
        <v>7578.3552</v>
      </c>
      <c r="L14" s="39"/>
      <c r="M14" s="53"/>
    </row>
    <row r="15" spans="1:13" ht="13.5" customHeight="1">
      <c r="A15" s="2" t="s">
        <v>109</v>
      </c>
      <c r="B15" s="6"/>
      <c r="C15" s="63">
        <f>($L$6+$L$25)*'gBytes per year'!C15</f>
        <v>207.1875</v>
      </c>
      <c r="D15" s="63">
        <f>($L$6+$L$25)*'gBytes per year'!D15</f>
        <v>2071.875</v>
      </c>
      <c r="E15" s="63">
        <f>($L$6+$L$25)*'gBytes per year'!E15</f>
        <v>12431.25</v>
      </c>
      <c r="F15" s="63">
        <f>($L$6+$L$25)*'gBytes per year'!F15</f>
        <v>33150</v>
      </c>
      <c r="G15" s="63">
        <f>SUM(C15:F15)</f>
        <v>47860.3125</v>
      </c>
      <c r="H15" s="32"/>
      <c r="I15" s="63">
        <f>($L$6+$L$25)*'gBytes per year'!I15</f>
        <v>47860.3125</v>
      </c>
      <c r="K15" s="53" t="s">
        <v>151</v>
      </c>
      <c r="L15" s="60"/>
      <c r="M15" s="53"/>
    </row>
    <row r="16" spans="1:13" ht="13.5" customHeight="1">
      <c r="A16" s="2"/>
      <c r="B16" s="12"/>
      <c r="C16" s="63"/>
      <c r="D16" s="63"/>
      <c r="E16" s="63"/>
      <c r="F16" s="63"/>
      <c r="G16" s="63"/>
      <c r="H16" s="32"/>
      <c r="I16" s="63"/>
      <c r="K16" s="53" t="s">
        <v>154</v>
      </c>
      <c r="L16" s="61">
        <v>0.055</v>
      </c>
      <c r="M16" s="53"/>
    </row>
    <row r="17" spans="1:13" ht="13.5" customHeight="1">
      <c r="A17" s="3" t="s">
        <v>111</v>
      </c>
      <c r="B17" s="12"/>
      <c r="C17" s="63"/>
      <c r="D17" s="63"/>
      <c r="E17" s="63"/>
      <c r="F17" s="63"/>
      <c r="G17" s="63"/>
      <c r="H17" s="32"/>
      <c r="I17" s="63"/>
      <c r="K17" s="53" t="s">
        <v>153</v>
      </c>
      <c r="L17" s="60"/>
      <c r="M17" s="53"/>
    </row>
    <row r="18" spans="1:12" ht="13.5" customHeight="1">
      <c r="A18" s="2" t="s">
        <v>197</v>
      </c>
      <c r="B18" s="6"/>
      <c r="C18" s="63">
        <f>($L$6+$L$25)*'gBytes per year'!C18</f>
        <v>1.8615</v>
      </c>
      <c r="D18" s="63">
        <f>($L$6+$L$25)*'gBytes per year'!D18</f>
        <v>209.41875000000002</v>
      </c>
      <c r="E18" s="63">
        <f>($L$6+$L$25)*'gBytes per year'!E18</f>
        <v>2792.25</v>
      </c>
      <c r="F18" s="63">
        <f>($L$6+$L$25)*'gBytes per year'!F18</f>
        <v>24432.1875</v>
      </c>
      <c r="G18" s="63">
        <f>SUM(C18:F18)</f>
        <v>27435.71775</v>
      </c>
      <c r="H18" s="32"/>
      <c r="I18" s="63">
        <f>($L$6+$L$25)*'gBytes per year'!I18</f>
        <v>27435.71775</v>
      </c>
      <c r="L18" s="39"/>
    </row>
    <row r="19" spans="1:12" ht="13.5" customHeight="1">
      <c r="A19" s="2" t="s">
        <v>109</v>
      </c>
      <c r="B19" s="6"/>
      <c r="C19" s="63">
        <f>($L$6+$L$25)*'gBytes per year'!C19</f>
        <v>1454.296875</v>
      </c>
      <c r="D19" s="63">
        <f>($L$6+$L$25)*'gBytes per year'!D19</f>
        <v>21814.453125</v>
      </c>
      <c r="E19" s="63">
        <f>($L$6+$L$25)*'gBytes per year'!E19</f>
        <v>58171.875</v>
      </c>
      <c r="F19" s="63">
        <f>($L$6+$L$25)*'gBytes per year'!F19</f>
        <v>116343.75</v>
      </c>
      <c r="G19" s="63">
        <f>SUM(C19:F19)</f>
        <v>197784.375</v>
      </c>
      <c r="H19" s="31"/>
      <c r="I19" s="63">
        <f>($L$6+$L$25)*'gBytes per year'!I19</f>
        <v>197784.375</v>
      </c>
      <c r="K19" s="53" t="s">
        <v>173</v>
      </c>
      <c r="L19" s="62"/>
    </row>
    <row r="20" spans="1:12" ht="13.5" customHeight="1">
      <c r="A20" s="2"/>
      <c r="B20" s="12"/>
      <c r="C20" s="63"/>
      <c r="D20" s="63"/>
      <c r="E20" s="63"/>
      <c r="F20" s="63"/>
      <c r="G20" s="63"/>
      <c r="H20" s="32"/>
      <c r="I20" s="63"/>
      <c r="K20" s="53" t="s">
        <v>140</v>
      </c>
      <c r="L20" s="21">
        <v>1</v>
      </c>
    </row>
    <row r="21" spans="1:12" ht="13.5" customHeight="1">
      <c r="A21" s="3" t="s">
        <v>121</v>
      </c>
      <c r="B21" s="12"/>
      <c r="C21" s="63"/>
      <c r="D21" s="63"/>
      <c r="E21" s="63"/>
      <c r="F21" s="63"/>
      <c r="G21" s="63"/>
      <c r="H21" s="32"/>
      <c r="I21" s="63"/>
      <c r="K21" s="53" t="s">
        <v>227</v>
      </c>
      <c r="L21" s="39"/>
    </row>
    <row r="22" spans="1:12" ht="13.5" customHeight="1">
      <c r="A22" s="2" t="s">
        <v>197</v>
      </c>
      <c r="B22" s="6"/>
      <c r="C22" s="63">
        <f>C10+C14+C18</f>
        <v>2.1879</v>
      </c>
      <c r="D22" s="63">
        <f aca="true" t="shared" si="0" ref="D22:F23">D10+D14+D18</f>
        <v>231.60375000000002</v>
      </c>
      <c r="E22" s="63">
        <f t="shared" si="0"/>
        <v>3618.45</v>
      </c>
      <c r="F22" s="63">
        <f t="shared" si="0"/>
        <v>35409.9375</v>
      </c>
      <c r="G22" s="65">
        <f>SUM(C22:F22)</f>
        <v>39262.179149999996</v>
      </c>
      <c r="H22" s="32"/>
      <c r="I22" s="63">
        <f>I10+I14+I18</f>
        <v>39262.179149999996</v>
      </c>
      <c r="K22" s="53" t="s">
        <v>228</v>
      </c>
      <c r="L22" s="39"/>
    </row>
    <row r="23" spans="1:12" ht="13.5" customHeight="1">
      <c r="A23" s="2" t="s">
        <v>109</v>
      </c>
      <c r="B23" s="6"/>
      <c r="C23" s="63">
        <f>C11+C15+C19</f>
        <v>1718.859375</v>
      </c>
      <c r="D23" s="63">
        <f t="shared" si="0"/>
        <v>24173.203125</v>
      </c>
      <c r="E23" s="63">
        <f t="shared" si="0"/>
        <v>76340.625</v>
      </c>
      <c r="F23" s="63">
        <f t="shared" si="0"/>
        <v>172443.75</v>
      </c>
      <c r="G23" s="65">
        <f>SUM(C23:F23)</f>
        <v>274676.4375</v>
      </c>
      <c r="H23" s="45"/>
      <c r="I23" s="63">
        <f>I11+I15+I19</f>
        <v>274676.4375</v>
      </c>
      <c r="L23" s="39"/>
    </row>
    <row r="24" spans="1:12" ht="13.5" customHeight="1">
      <c r="A24" s="29"/>
      <c r="B24" s="44"/>
      <c r="C24" s="44"/>
      <c r="D24" s="44"/>
      <c r="E24" s="44"/>
      <c r="F24" s="44"/>
      <c r="G24" s="44"/>
      <c r="H24" s="46"/>
      <c r="I24" s="12"/>
      <c r="K24" t="s">
        <v>174</v>
      </c>
      <c r="L24" s="39"/>
    </row>
    <row r="25" spans="1:12" ht="13.5" customHeight="1">
      <c r="A25" s="164" t="s">
        <v>186</v>
      </c>
      <c r="B25" s="164"/>
      <c r="C25" s="164"/>
      <c r="D25" s="164"/>
      <c r="E25" s="12"/>
      <c r="F25" s="12"/>
      <c r="G25" s="12"/>
      <c r="H25" s="7"/>
      <c r="I25" s="12"/>
      <c r="K25" t="s">
        <v>61</v>
      </c>
      <c r="L25" s="59">
        <f>L6+(L16*L20)</f>
        <v>0.155</v>
      </c>
    </row>
    <row r="26" spans="1:11" ht="13.5" customHeight="1">
      <c r="A26" s="2" t="s">
        <v>118</v>
      </c>
      <c r="B26" s="6"/>
      <c r="C26" s="63">
        <f>($L$6+$L$25)*'gBytes per year'!C26</f>
        <v>0.18615</v>
      </c>
      <c r="D26" s="63">
        <f>($L$6+$L$25)*'gBytes per year'!D26</f>
        <v>2.7922499999999997</v>
      </c>
      <c r="E26" s="63">
        <f>($L$6+$L$25)*'gBytes per year'!E26</f>
        <v>27.9225</v>
      </c>
      <c r="F26" s="63">
        <f>($L$6+$L$25)*'gBytes per year'!F26</f>
        <v>244.321875</v>
      </c>
      <c r="G26" s="63">
        <f>SUM(C26:F26)</f>
        <v>275.222775</v>
      </c>
      <c r="H26" s="7"/>
      <c r="I26" s="64">
        <f>I22+G26</f>
        <v>39537.401925</v>
      </c>
      <c r="K26" t="s">
        <v>274</v>
      </c>
    </row>
    <row r="27" spans="1:11" ht="13.5" customHeight="1">
      <c r="A27" s="2" t="s">
        <v>119</v>
      </c>
      <c r="B27" s="6"/>
      <c r="C27" s="63">
        <f>($L$6+$L$25)*'gBytes per year'!C27</f>
        <v>58.171875</v>
      </c>
      <c r="D27" s="63">
        <f>($L$6+$L$25)*'gBytes per year'!D27</f>
        <v>116.34375</v>
      </c>
      <c r="E27" s="63">
        <f>($L$6+$L$25)*'gBytes per year'!E27</f>
        <v>232.6875</v>
      </c>
      <c r="F27" s="63">
        <f>($L$6+$L$25)*'gBytes per year'!F27</f>
        <v>465.375</v>
      </c>
      <c r="G27" s="63">
        <f>SUM(C27:F27)</f>
        <v>872.578125</v>
      </c>
      <c r="H27" s="7"/>
      <c r="I27" s="64">
        <f>I23+G27</f>
        <v>275549.015625</v>
      </c>
      <c r="K27" t="s">
        <v>171</v>
      </c>
    </row>
    <row r="28" ht="13.5" customHeight="1">
      <c r="K28" t="s">
        <v>172</v>
      </c>
    </row>
    <row r="30" ht="13.5" customHeight="1">
      <c r="A30" s="13" t="s">
        <v>230</v>
      </c>
    </row>
    <row r="31" ht="13.5" customHeight="1">
      <c r="K31" s="38" t="s">
        <v>156</v>
      </c>
    </row>
    <row r="32" spans="1:11" ht="13.5" customHeight="1">
      <c r="A32" s="6"/>
      <c r="B32" s="4" t="s">
        <v>115</v>
      </c>
      <c r="C32" s="4" t="s">
        <v>108</v>
      </c>
      <c r="D32" s="4" t="s">
        <v>110</v>
      </c>
      <c r="E32" s="4" t="s">
        <v>111</v>
      </c>
      <c r="F32" s="4" t="s">
        <v>261</v>
      </c>
      <c r="G32" s="4" t="s">
        <v>117</v>
      </c>
      <c r="H32" s="6"/>
      <c r="I32" s="10" t="s">
        <v>127</v>
      </c>
      <c r="K32" s="38"/>
    </row>
    <row r="33" spans="1:11" ht="13.5" customHeight="1">
      <c r="A33" s="6"/>
      <c r="B33" s="6"/>
      <c r="C33" s="22"/>
      <c r="D33" s="22"/>
      <c r="E33" s="22"/>
      <c r="F33" s="22"/>
      <c r="G33" s="6"/>
      <c r="H33" s="6"/>
      <c r="I33" s="27" t="s">
        <v>187</v>
      </c>
      <c r="K33" s="38" t="s">
        <v>155</v>
      </c>
    </row>
    <row r="34" spans="1:11" ht="13.5" customHeight="1">
      <c r="A34" s="2"/>
      <c r="B34" s="6"/>
      <c r="C34" s="22"/>
      <c r="D34" s="22"/>
      <c r="E34" s="22"/>
      <c r="F34" s="22"/>
      <c r="G34" s="6"/>
      <c r="H34" s="6"/>
      <c r="I34" s="27" t="s">
        <v>188</v>
      </c>
      <c r="K34" s="38" t="s">
        <v>195</v>
      </c>
    </row>
    <row r="35" spans="1:9" ht="13.5" customHeight="1">
      <c r="A35" s="2"/>
      <c r="B35" s="9"/>
      <c r="C35" s="6"/>
      <c r="D35" s="6"/>
      <c r="E35" s="6"/>
      <c r="F35" s="6"/>
      <c r="G35" s="6"/>
      <c r="H35" s="6"/>
      <c r="I35" s="27" t="s">
        <v>189</v>
      </c>
    </row>
    <row r="36" spans="1:9" ht="13.5" customHeight="1">
      <c r="A36" s="18" t="s">
        <v>198</v>
      </c>
      <c r="B36" s="9"/>
      <c r="C36" s="12"/>
      <c r="D36" s="12"/>
      <c r="E36" s="12"/>
      <c r="F36" s="12"/>
      <c r="G36" s="6"/>
      <c r="H36" s="6"/>
      <c r="I36" s="12"/>
    </row>
    <row r="37" spans="1:9" ht="13.5" customHeight="1">
      <c r="A37" s="3" t="s">
        <v>108</v>
      </c>
      <c r="B37" s="12"/>
      <c r="C37" s="11"/>
      <c r="D37" s="11"/>
      <c r="E37" s="11"/>
      <c r="F37" s="11"/>
      <c r="G37" s="6"/>
      <c r="H37" s="8"/>
      <c r="I37" s="12"/>
    </row>
    <row r="38" spans="1:9" ht="13.5" customHeight="1">
      <c r="A38" s="2" t="s">
        <v>122</v>
      </c>
      <c r="B38" s="12"/>
      <c r="C38" s="63">
        <f>($L$25)*'gBytes per year'!C38</f>
        <v>7.439999999999999E-05</v>
      </c>
      <c r="D38" s="63">
        <f>($L$25)*'gBytes per year'!D38</f>
        <v>0.0027900000000000004</v>
      </c>
      <c r="E38" s="63">
        <f>($L$25)*'gBytes per year'!E38</f>
        <v>0.279</v>
      </c>
      <c r="F38" s="63">
        <f>($L$25)*'gBytes per year'!F38</f>
        <v>4.8825</v>
      </c>
      <c r="G38" s="65">
        <f>SUM(C38:F38)</f>
        <v>5.1643644</v>
      </c>
      <c r="H38" s="8"/>
      <c r="I38" s="67">
        <f>($L$25)*'gBytes per year'!I38</f>
        <v>5.1643644</v>
      </c>
    </row>
    <row r="39" spans="1:9" ht="13.5" customHeight="1">
      <c r="A39" s="2" t="s">
        <v>119</v>
      </c>
      <c r="B39" s="12"/>
      <c r="C39" s="63">
        <f>($L$25)*'gBytes per year'!C39</f>
        <v>0.02325</v>
      </c>
      <c r="D39" s="63">
        <f>($L$25)*'gBytes per year'!D39</f>
        <v>0.11624999999999999</v>
      </c>
      <c r="E39" s="63">
        <f>($L$25)*'gBytes per year'!E39</f>
        <v>2.325</v>
      </c>
      <c r="F39" s="63">
        <f>($L$25)*'gBytes per year'!F39</f>
        <v>9.3</v>
      </c>
      <c r="G39" s="65">
        <f>SUM(C39:F39)</f>
        <v>11.764500000000002</v>
      </c>
      <c r="H39" s="8"/>
      <c r="I39" s="67">
        <f>($L$25)*'gBytes per year'!I39</f>
        <v>11.7645</v>
      </c>
    </row>
    <row r="40" spans="1:9" ht="13.5" customHeight="1">
      <c r="A40" s="2"/>
      <c r="B40" s="12"/>
      <c r="C40" s="23"/>
      <c r="D40" s="23"/>
      <c r="E40" s="23"/>
      <c r="F40" s="23"/>
      <c r="G40" s="66"/>
      <c r="H40" s="8"/>
      <c r="I40" s="12"/>
    </row>
    <row r="41" spans="1:9" ht="13.5" customHeight="1">
      <c r="A41" s="3" t="s">
        <v>110</v>
      </c>
      <c r="B41" s="12"/>
      <c r="C41" s="23"/>
      <c r="D41" s="23"/>
      <c r="E41" s="23"/>
      <c r="F41" s="23"/>
      <c r="G41" s="66"/>
      <c r="H41" s="8"/>
      <c r="I41" s="12"/>
    </row>
    <row r="42" spans="1:9" ht="13.5" customHeight="1">
      <c r="A42" s="2" t="s">
        <v>197</v>
      </c>
      <c r="B42" s="6"/>
      <c r="C42" s="63">
        <f>($L$25)*'gBytes per year'!C42</f>
        <v>0.000806</v>
      </c>
      <c r="D42" s="63">
        <f>($L$25)*'gBytes per year'!D42</f>
        <v>0.060450000000000004</v>
      </c>
      <c r="E42" s="63">
        <f>($L$25)*'gBytes per year'!E42</f>
        <v>1.8135</v>
      </c>
      <c r="F42" s="63">
        <f>($L$25)*'gBytes per year'!F42</f>
        <v>21.1575</v>
      </c>
      <c r="G42" s="65">
        <f>SUM(C42:F42)</f>
        <v>23.032256</v>
      </c>
      <c r="H42" s="8"/>
      <c r="I42" s="67">
        <f>($L$25)*'gBytes per year'!I42</f>
        <v>23.032256</v>
      </c>
    </row>
    <row r="43" spans="1:9" ht="13.5" customHeight="1">
      <c r="A43" s="2" t="s">
        <v>109</v>
      </c>
      <c r="B43" s="6"/>
      <c r="C43" s="63">
        <f>($L$25)*'gBytes per year'!C43</f>
        <v>0.251875</v>
      </c>
      <c r="D43" s="63">
        <f>($L$25)*'gBytes per year'!D43</f>
        <v>2.51875</v>
      </c>
      <c r="E43" s="63">
        <f>($L$25)*'gBytes per year'!E43</f>
        <v>15.1125</v>
      </c>
      <c r="F43" s="63">
        <f>($L$25)*'gBytes per year'!F43</f>
        <v>40.3</v>
      </c>
      <c r="G43" s="65">
        <f>SUM(C43:F43)</f>
        <v>58.183125</v>
      </c>
      <c r="H43" s="8"/>
      <c r="I43" s="67">
        <f>($L$25)*'gBytes per year'!I43</f>
        <v>58.183125</v>
      </c>
    </row>
    <row r="44" spans="1:9" ht="13.5" customHeight="1">
      <c r="A44" s="2"/>
      <c r="B44" s="12"/>
      <c r="C44" s="23"/>
      <c r="D44" s="23"/>
      <c r="E44" s="23"/>
      <c r="F44" s="23"/>
      <c r="G44" s="66"/>
      <c r="H44" s="8"/>
      <c r="I44" s="12"/>
    </row>
    <row r="45" spans="1:9" ht="13.5" customHeight="1">
      <c r="A45" s="3" t="s">
        <v>111</v>
      </c>
      <c r="B45" s="12"/>
      <c r="C45" s="23"/>
      <c r="D45" s="23"/>
      <c r="E45" s="23"/>
      <c r="F45" s="23"/>
      <c r="G45" s="66"/>
      <c r="H45" s="8"/>
      <c r="I45" s="12"/>
    </row>
    <row r="46" spans="1:9" ht="13.5" customHeight="1">
      <c r="A46" s="2" t="s">
        <v>197</v>
      </c>
      <c r="B46" s="6"/>
      <c r="C46" s="63">
        <f>($L$25)*'gBytes per year'!C46</f>
        <v>0.011314999999999999</v>
      </c>
      <c r="D46" s="63">
        <f>($L$25)*'gBytes per year'!D46</f>
        <v>1.2729375</v>
      </c>
      <c r="E46" s="63">
        <f>($L$25)*'gBytes per year'!E46</f>
        <v>16.9725</v>
      </c>
      <c r="F46" s="63">
        <f>($L$25)*'gBytes per year'!F46</f>
        <v>148.509375</v>
      </c>
      <c r="G46" s="65">
        <f>SUM(C46:F46)</f>
        <v>166.7661275</v>
      </c>
      <c r="H46" s="8"/>
      <c r="I46" s="67">
        <f>($L$25)*'gBytes per year'!I46</f>
        <v>166.76612749999998</v>
      </c>
    </row>
    <row r="47" spans="1:9" ht="13.5" customHeight="1">
      <c r="A47" s="2" t="s">
        <v>109</v>
      </c>
      <c r="B47" s="6"/>
      <c r="C47" s="63">
        <f>($L$25)*'gBytes per year'!C47</f>
        <v>3.5359375</v>
      </c>
      <c r="D47" s="63">
        <f>($L$25)*'gBytes per year'!D47</f>
        <v>53.0390625</v>
      </c>
      <c r="E47" s="63">
        <f>($L$25)*'gBytes per year'!E47</f>
        <v>141.4375</v>
      </c>
      <c r="F47" s="63">
        <f>($L$25)*'gBytes per year'!F47</f>
        <v>282.875</v>
      </c>
      <c r="G47" s="65">
        <f>SUM(C47:F47)</f>
        <v>480.8875</v>
      </c>
      <c r="H47" s="6"/>
      <c r="I47" s="67">
        <f>($L$25)*'gBytes per year'!I47</f>
        <v>480.8875</v>
      </c>
    </row>
    <row r="48" spans="1:9" ht="13.5" customHeight="1">
      <c r="A48" s="2"/>
      <c r="B48" s="12"/>
      <c r="C48" s="24"/>
      <c r="D48" s="24"/>
      <c r="E48" s="24"/>
      <c r="F48" s="24"/>
      <c r="G48" s="23"/>
      <c r="H48" s="8"/>
      <c r="I48" s="12"/>
    </row>
    <row r="49" spans="1:9" ht="13.5" customHeight="1">
      <c r="A49" s="3" t="s">
        <v>121</v>
      </c>
      <c r="B49" s="12"/>
      <c r="C49" s="23"/>
      <c r="D49" s="23"/>
      <c r="E49" s="23"/>
      <c r="F49" s="23"/>
      <c r="G49" s="12"/>
      <c r="H49" s="8"/>
      <c r="I49" s="12"/>
    </row>
    <row r="50" spans="1:9" ht="13.5" customHeight="1">
      <c r="A50" s="2" t="s">
        <v>197</v>
      </c>
      <c r="B50" s="6"/>
      <c r="C50" s="23"/>
      <c r="D50" s="23"/>
      <c r="E50" s="23"/>
      <c r="F50" s="23"/>
      <c r="G50" s="12"/>
      <c r="H50" s="8"/>
      <c r="I50" s="8"/>
    </row>
    <row r="51" spans="1:9" ht="13.5" customHeight="1">
      <c r="A51" s="2" t="s">
        <v>109</v>
      </c>
      <c r="B51" s="6"/>
      <c r="C51" s="23"/>
      <c r="D51" s="23"/>
      <c r="E51" s="23"/>
      <c r="F51" s="23"/>
      <c r="G51" s="12"/>
      <c r="H51" s="7"/>
      <c r="I51" s="8"/>
    </row>
    <row r="52" spans="1:9" ht="13.5" customHeight="1">
      <c r="A52" s="2"/>
      <c r="B52" s="12"/>
      <c r="C52" s="12"/>
      <c r="D52" s="12"/>
      <c r="E52" s="12"/>
      <c r="F52" s="12"/>
      <c r="G52" s="12"/>
      <c r="H52" s="7"/>
      <c r="I52" s="12"/>
    </row>
    <row r="53" spans="1:9" ht="13.5" customHeight="1">
      <c r="A53" s="3" t="s">
        <v>120</v>
      </c>
      <c r="B53" s="12"/>
      <c r="C53" s="12"/>
      <c r="D53" s="12"/>
      <c r="E53" s="12"/>
      <c r="F53" s="12"/>
      <c r="G53" s="12"/>
      <c r="H53" s="7"/>
      <c r="I53" s="12"/>
    </row>
    <row r="54" spans="1:9" ht="13.5" customHeight="1">
      <c r="A54" s="2" t="s">
        <v>118</v>
      </c>
      <c r="B54" s="6"/>
      <c r="C54" s="8"/>
      <c r="D54" s="8"/>
      <c r="E54" s="8"/>
      <c r="F54" s="8"/>
      <c r="G54" s="8"/>
      <c r="H54" s="7"/>
      <c r="I54" s="20"/>
    </row>
    <row r="55" spans="1:9" ht="13.5" customHeight="1">
      <c r="A55" s="2" t="s">
        <v>119</v>
      </c>
      <c r="B55" s="6"/>
      <c r="C55" s="8"/>
      <c r="D55" s="8"/>
      <c r="E55" s="8"/>
      <c r="F55" s="8"/>
      <c r="G55" s="8"/>
      <c r="H55" s="7"/>
      <c r="I55" s="20"/>
    </row>
    <row r="58" ht="13.5" customHeight="1">
      <c r="A58" s="13" t="s">
        <v>34</v>
      </c>
    </row>
    <row r="60" spans="1:9" ht="13.5" customHeight="1">
      <c r="A60" s="6"/>
      <c r="B60" s="4" t="s">
        <v>115</v>
      </c>
      <c r="C60" s="4" t="s">
        <v>108</v>
      </c>
      <c r="D60" s="4" t="s">
        <v>110</v>
      </c>
      <c r="E60" s="4" t="s">
        <v>111</v>
      </c>
      <c r="F60" s="4" t="s">
        <v>261</v>
      </c>
      <c r="G60" s="4" t="s">
        <v>117</v>
      </c>
      <c r="H60" s="6"/>
      <c r="I60" s="10" t="s">
        <v>127</v>
      </c>
    </row>
    <row r="61" spans="1:9" ht="13.5" customHeight="1">
      <c r="A61" s="6"/>
      <c r="B61" s="6"/>
      <c r="C61" s="22"/>
      <c r="D61" s="22"/>
      <c r="E61" s="22"/>
      <c r="F61" s="22"/>
      <c r="G61" s="6"/>
      <c r="H61" s="6"/>
      <c r="I61" s="27" t="s">
        <v>187</v>
      </c>
    </row>
    <row r="62" spans="1:9" ht="13.5" customHeight="1">
      <c r="A62" s="2"/>
      <c r="B62" s="6"/>
      <c r="C62" s="22"/>
      <c r="D62" s="22"/>
      <c r="E62" s="22"/>
      <c r="F62" s="22"/>
      <c r="G62" s="6"/>
      <c r="H62" s="6"/>
      <c r="I62" s="27" t="s">
        <v>188</v>
      </c>
    </row>
    <row r="63" spans="1:9" ht="13.5" customHeight="1">
      <c r="A63" s="2"/>
      <c r="B63" s="9"/>
      <c r="C63" s="6"/>
      <c r="D63" s="6"/>
      <c r="E63" s="6"/>
      <c r="F63" s="6"/>
      <c r="G63" s="6"/>
      <c r="H63" s="6"/>
      <c r="I63" s="27" t="s">
        <v>189</v>
      </c>
    </row>
    <row r="64" spans="1:9" ht="13.5" customHeight="1">
      <c r="A64" s="18" t="s">
        <v>198</v>
      </c>
      <c r="B64" s="9"/>
      <c r="C64" s="12"/>
      <c r="D64" s="12"/>
      <c r="E64" s="12"/>
      <c r="F64" s="12"/>
      <c r="G64" s="6"/>
      <c r="H64" s="6"/>
      <c r="I64" s="12"/>
    </row>
    <row r="65" spans="1:9" ht="13.5" customHeight="1">
      <c r="A65" s="3" t="s">
        <v>108</v>
      </c>
      <c r="B65" s="12"/>
      <c r="C65" s="11"/>
      <c r="D65" s="11"/>
      <c r="E65" s="11"/>
      <c r="F65" s="11"/>
      <c r="G65" s="6"/>
      <c r="H65" s="8"/>
      <c r="I65" s="12"/>
    </row>
    <row r="66" spans="1:9" ht="13.5" customHeight="1">
      <c r="A66" s="2" t="s">
        <v>122</v>
      </c>
      <c r="B66" s="12"/>
      <c r="C66" s="63">
        <f>($L$6)*'gBytes per year'!C66</f>
        <v>0.006</v>
      </c>
      <c r="D66" s="63">
        <f>($L$6)*'gBytes per year'!D66</f>
        <v>0.15000000000000002</v>
      </c>
      <c r="E66" s="63">
        <f>($L$6)*'gBytes per year'!E66</f>
        <v>30</v>
      </c>
      <c r="F66" s="63">
        <f>($L$6+$L$25)*'gBytes per year'!F66</f>
        <v>4016.25</v>
      </c>
      <c r="G66" s="23"/>
      <c r="H66" s="8"/>
      <c r="I66" s="20"/>
    </row>
    <row r="67" spans="1:9" ht="13.5" customHeight="1">
      <c r="A67" s="2" t="s">
        <v>119</v>
      </c>
      <c r="B67" s="12"/>
      <c r="C67" s="63">
        <f>($L$6)*'gBytes per year'!C67</f>
        <v>0.045000000000000005</v>
      </c>
      <c r="D67" s="63">
        <f>($L$6)*'gBytes per year'!D67</f>
        <v>1.125</v>
      </c>
      <c r="E67" s="63">
        <f>($L$6)*'gBytes per year'!E67</f>
        <v>225</v>
      </c>
      <c r="F67" s="63">
        <f>($L$6+$L$25)*'gBytes per year'!F67</f>
        <v>22950</v>
      </c>
      <c r="G67" s="23"/>
      <c r="H67" s="8"/>
      <c r="I67" s="20"/>
    </row>
    <row r="68" spans="1:9" ht="13.5" customHeight="1">
      <c r="A68" s="2"/>
      <c r="B68" s="12"/>
      <c r="C68" s="23"/>
      <c r="D68" s="23"/>
      <c r="E68" s="23"/>
      <c r="F68" s="23"/>
      <c r="G68" s="23"/>
      <c r="H68" s="8"/>
      <c r="I68" s="12"/>
    </row>
    <row r="69" spans="1:9" ht="13.5" customHeight="1">
      <c r="A69" s="3" t="s">
        <v>110</v>
      </c>
      <c r="B69" s="12"/>
      <c r="C69" s="23"/>
      <c r="D69" s="23"/>
      <c r="E69" s="23"/>
      <c r="F69" s="23"/>
      <c r="G69" s="23"/>
      <c r="H69" s="8"/>
      <c r="I69" s="12"/>
    </row>
    <row r="70" spans="1:9" ht="13.5" customHeight="1">
      <c r="A70" s="2" t="s">
        <v>197</v>
      </c>
      <c r="B70" s="6"/>
      <c r="C70" s="63">
        <f>($L$6)*'gBytes per year'!C70</f>
        <v>0.026000000000000002</v>
      </c>
      <c r="D70" s="63">
        <f>($L$6)*'gBytes per year'!D70</f>
        <v>1.3</v>
      </c>
      <c r="E70" s="63">
        <f>($L$6)*'gBytes per year'!E70</f>
        <v>78</v>
      </c>
      <c r="F70" s="63">
        <f>($L$6+$L$25)*'gBytes per year'!F70</f>
        <v>6961.5</v>
      </c>
      <c r="G70" s="23"/>
      <c r="H70" s="8"/>
      <c r="I70" s="20"/>
    </row>
    <row r="71" spans="1:9" ht="13.5" customHeight="1">
      <c r="A71" s="2" t="s">
        <v>109</v>
      </c>
      <c r="B71" s="6"/>
      <c r="C71" s="63">
        <f>($L$6)*'gBytes per year'!C71</f>
        <v>0.1625</v>
      </c>
      <c r="D71" s="63">
        <f>($L$6)*'gBytes per year'!D71</f>
        <v>8.125</v>
      </c>
      <c r="E71" s="63">
        <f>($L$6)*'gBytes per year'!E71</f>
        <v>487.5</v>
      </c>
      <c r="F71" s="63">
        <f>($L$6+$L$25)*'gBytes per year'!F71</f>
        <v>33150</v>
      </c>
      <c r="G71" s="23"/>
      <c r="H71" s="8"/>
      <c r="I71" s="20"/>
    </row>
    <row r="72" spans="1:9" ht="13.5" customHeight="1">
      <c r="A72" s="2"/>
      <c r="B72" s="12"/>
      <c r="C72" s="23"/>
      <c r="D72" s="23"/>
      <c r="E72" s="23"/>
      <c r="F72" s="23"/>
      <c r="G72" s="23"/>
      <c r="H72" s="8"/>
      <c r="I72" s="12"/>
    </row>
    <row r="73" spans="1:9" ht="13.5" customHeight="1">
      <c r="A73" s="3" t="s">
        <v>111</v>
      </c>
      <c r="B73" s="12"/>
      <c r="C73" s="23"/>
      <c r="D73" s="23"/>
      <c r="E73" s="23"/>
      <c r="F73" s="23"/>
      <c r="G73" s="23"/>
      <c r="H73" s="8"/>
      <c r="I73" s="12"/>
    </row>
    <row r="74" spans="1:9" ht="13.5" customHeight="1">
      <c r="A74" s="2" t="s">
        <v>197</v>
      </c>
      <c r="B74" s="6"/>
      <c r="C74" s="63">
        <f>($L$6)*'gBytes per year'!C74</f>
        <v>0.1825</v>
      </c>
      <c r="D74" s="63">
        <f>($L$6)*'gBytes per year'!D74</f>
        <v>13.6875</v>
      </c>
      <c r="E74" s="63">
        <f>($L$6)*'gBytes per year'!E74</f>
        <v>365</v>
      </c>
      <c r="F74" s="63">
        <f>($L$6+$L$25)*'gBytes per year'!F74</f>
        <v>24432.1875</v>
      </c>
      <c r="G74" s="23"/>
      <c r="H74" s="8"/>
      <c r="I74" s="20"/>
    </row>
    <row r="75" spans="1:9" ht="13.5" customHeight="1">
      <c r="A75" s="2" t="s">
        <v>109</v>
      </c>
      <c r="B75" s="6"/>
      <c r="C75" s="63">
        <f>($L$6)*'gBytes per year'!C75</f>
        <v>1.140625</v>
      </c>
      <c r="D75" s="63">
        <f>($L$6)*'gBytes per year'!D75</f>
        <v>85.546875</v>
      </c>
      <c r="E75" s="63">
        <f>($L$6)*'gBytes per year'!E75</f>
        <v>2281.25</v>
      </c>
      <c r="F75" s="63">
        <f>($L$6+$L$25)*'gBytes per year'!F75</f>
        <v>116343.75</v>
      </c>
      <c r="G75" s="23"/>
      <c r="H75" s="6"/>
      <c r="I75" s="20"/>
    </row>
    <row r="76" spans="1:9" ht="13.5" customHeight="1">
      <c r="A76" s="2"/>
      <c r="B76" s="12"/>
      <c r="C76" s="24"/>
      <c r="D76" s="24"/>
      <c r="E76" s="24"/>
      <c r="F76" s="24"/>
      <c r="G76" s="23"/>
      <c r="H76" s="8"/>
      <c r="I76" s="12"/>
    </row>
    <row r="77" spans="1:9" ht="13.5" customHeight="1">
      <c r="A77" s="3" t="s">
        <v>121</v>
      </c>
      <c r="B77" s="12"/>
      <c r="C77" s="23"/>
      <c r="D77" s="23"/>
      <c r="E77" s="23"/>
      <c r="F77" s="23"/>
      <c r="G77" s="23"/>
      <c r="H77" s="8"/>
      <c r="I77" s="12"/>
    </row>
    <row r="78" spans="1:9" ht="13.5" customHeight="1">
      <c r="A78" s="2" t="s">
        <v>197</v>
      </c>
      <c r="B78" s="6"/>
      <c r="C78" s="65">
        <f>C66+C70+C74</f>
        <v>0.2145</v>
      </c>
      <c r="D78" s="65">
        <f aca="true" t="shared" si="1" ref="D78:F79">D66+D70+D74</f>
        <v>15.1375</v>
      </c>
      <c r="E78" s="65">
        <f t="shared" si="1"/>
        <v>473</v>
      </c>
      <c r="F78" s="65">
        <f t="shared" si="1"/>
        <v>35409.9375</v>
      </c>
      <c r="G78" s="23"/>
      <c r="H78" s="8"/>
      <c r="I78" s="8"/>
    </row>
    <row r="79" spans="1:9" ht="13.5" customHeight="1">
      <c r="A79" s="2" t="s">
        <v>109</v>
      </c>
      <c r="B79" s="6"/>
      <c r="C79" s="65">
        <f>C67+C71+C75</f>
        <v>1.348125</v>
      </c>
      <c r="D79" s="65">
        <f t="shared" si="1"/>
        <v>94.796875</v>
      </c>
      <c r="E79" s="65">
        <f t="shared" si="1"/>
        <v>2993.75</v>
      </c>
      <c r="F79" s="65">
        <f t="shared" si="1"/>
        <v>172443.75</v>
      </c>
      <c r="G79" s="23"/>
      <c r="H79" s="7"/>
      <c r="I79" s="8"/>
    </row>
    <row r="80" spans="1:9" ht="13.5" customHeight="1">
      <c r="A80" s="2"/>
      <c r="B80" s="12"/>
      <c r="C80" s="12"/>
      <c r="D80" s="12"/>
      <c r="E80" s="12"/>
      <c r="F80" s="12"/>
      <c r="G80" s="12"/>
      <c r="H80" s="7"/>
      <c r="I80" s="12"/>
    </row>
    <row r="81" spans="1:9" ht="13.5" customHeight="1">
      <c r="A81" s="3" t="s">
        <v>120</v>
      </c>
      <c r="B81" s="12"/>
      <c r="C81" s="12"/>
      <c r="D81" s="12"/>
      <c r="E81" s="12"/>
      <c r="F81" s="12"/>
      <c r="G81" s="12"/>
      <c r="H81" s="7"/>
      <c r="I81" s="12"/>
    </row>
    <row r="82" spans="1:9" ht="13.5" customHeight="1">
      <c r="A82" s="2" t="s">
        <v>118</v>
      </c>
      <c r="B82" s="6"/>
      <c r="C82" s="68">
        <f>($L$6)*'gBytes per year'!C82</f>
        <v>0.0006435000000000001</v>
      </c>
      <c r="D82" s="67">
        <f>($L$6)*'gBytes per year'!D82</f>
        <v>0.0454125</v>
      </c>
      <c r="E82" s="67">
        <f>($L$6)*'gBytes per year'!E82</f>
        <v>1.419</v>
      </c>
      <c r="F82" s="67">
        <f>($L$6)*'gBytes per year'!F82</f>
        <v>41.658750000000005</v>
      </c>
      <c r="G82" s="8"/>
      <c r="H82" s="7"/>
      <c r="I82" s="20"/>
    </row>
    <row r="83" spans="1:9" ht="13.5" customHeight="1">
      <c r="A83" s="2" t="s">
        <v>119</v>
      </c>
      <c r="B83" s="6"/>
      <c r="C83" s="68">
        <f>($L$6)*'gBytes per year'!C83</f>
        <v>0.004044375</v>
      </c>
      <c r="D83" s="67">
        <f>($L$6)*'gBytes per year'!D83</f>
        <v>0.284390625</v>
      </c>
      <c r="E83" s="67">
        <f>($L$6)*'gBytes per year'!E83</f>
        <v>8.981250000000001</v>
      </c>
      <c r="F83" s="67">
        <f>($L$6)*'gBytes per year'!F83</f>
        <v>202.875</v>
      </c>
      <c r="G83" s="8"/>
      <c r="H83" s="7"/>
      <c r="I83" s="20"/>
    </row>
    <row r="84" spans="3:6" ht="13.5" customHeight="1">
      <c r="C84" s="66"/>
      <c r="D84" s="66"/>
      <c r="E84" s="66"/>
      <c r="F84" s="66"/>
    </row>
  </sheetData>
  <sheetProtection/>
  <mergeCells count="2">
    <mergeCell ref="A1:E1"/>
    <mergeCell ref="A25:D25"/>
  </mergeCells>
  <printOptions/>
  <pageMargins left="0.75" right="0.75" top="1" bottom="1" header="0.5" footer="0.5"/>
  <pageSetup orientation="landscape"/>
</worksheet>
</file>

<file path=xl/worksheets/sheet2.xml><?xml version="1.0" encoding="utf-8"?>
<worksheet xmlns="http://schemas.openxmlformats.org/spreadsheetml/2006/main" xmlns:r="http://schemas.openxmlformats.org/officeDocument/2006/relationships">
  <dimension ref="A1:AE70"/>
  <sheetViews>
    <sheetView zoomScalePageLayoutView="0" workbookViewId="0" topLeftCell="A1">
      <pane xSplit="2" ySplit="14" topLeftCell="C102" activePane="bottomRight" state="frozen"/>
      <selection pane="topLeft" activeCell="A1" sqref="A1"/>
      <selection pane="topRight" activeCell="C1" sqref="C1"/>
      <selection pane="bottomLeft" activeCell="A9" sqref="A9"/>
      <selection pane="bottomRight" activeCell="D25" sqref="D25"/>
    </sheetView>
  </sheetViews>
  <sheetFormatPr defaultColWidth="11.421875" defaultRowHeight="12.75"/>
  <cols>
    <col min="1" max="1" width="10.28125" style="0" customWidth="1"/>
    <col min="2" max="2" width="13.00390625" style="0" customWidth="1"/>
    <col min="3" max="3" width="1.421875" style="0" customWidth="1"/>
    <col min="4" max="4" width="11.421875" style="0" customWidth="1"/>
    <col min="5" max="6" width="14.00390625" style="0" bestFit="1" customWidth="1"/>
    <col min="7" max="7" width="14.421875" style="0" customWidth="1"/>
    <col min="8" max="8" width="13.421875" style="0" customWidth="1"/>
    <col min="9" max="9" width="14.7109375" style="0" customWidth="1"/>
    <col min="10" max="10" width="1.8515625" style="0" customWidth="1"/>
    <col min="11" max="11" width="14.140625" style="0" bestFit="1" customWidth="1"/>
    <col min="12" max="12" width="14.28125" style="0" customWidth="1"/>
    <col min="13" max="13" width="16.140625" style="0" customWidth="1"/>
    <col min="14" max="14" width="13.7109375" style="0" customWidth="1"/>
    <col min="15" max="15" width="13.140625" style="0" customWidth="1"/>
    <col min="16" max="16" width="14.28125" style="0" customWidth="1"/>
    <col min="17" max="17" width="1.28515625" style="0" customWidth="1"/>
    <col min="18" max="18" width="11.7109375" style="0" bestFit="1" customWidth="1"/>
    <col min="19" max="19" width="15.140625" style="0" customWidth="1"/>
    <col min="20" max="20" width="15.00390625" style="0" customWidth="1"/>
    <col min="21" max="22" width="13.421875" style="0" customWidth="1"/>
    <col min="23" max="23" width="16.7109375" style="0" customWidth="1"/>
    <col min="24" max="24" width="1.1484375" style="0" customWidth="1"/>
    <col min="25" max="25" width="11.7109375" style="0" bestFit="1" customWidth="1"/>
    <col min="26" max="27" width="13.7109375" style="0" customWidth="1"/>
    <col min="28" max="28" width="14.28125" style="0" customWidth="1"/>
    <col min="29" max="29" width="13.140625" style="0" customWidth="1"/>
    <col min="30" max="30" width="16.140625" style="0" customWidth="1"/>
  </cols>
  <sheetData>
    <row r="1" ht="12.75">
      <c r="A1" t="s">
        <v>20</v>
      </c>
    </row>
    <row r="3" ht="12.75">
      <c r="A3" t="s">
        <v>75</v>
      </c>
    </row>
    <row r="5" ht="12.75">
      <c r="A5" t="s">
        <v>226</v>
      </c>
    </row>
    <row r="6" ht="12.75">
      <c r="A6" t="s">
        <v>60</v>
      </c>
    </row>
    <row r="7" ht="12.75">
      <c r="A7" s="97">
        <f>'Model Comparisons'!B22</f>
        <v>1</v>
      </c>
    </row>
    <row r="8" spans="4:30" ht="12.75">
      <c r="D8" s="159" t="s">
        <v>43</v>
      </c>
      <c r="E8" s="159"/>
      <c r="F8" s="159"/>
      <c r="G8" s="159"/>
      <c r="H8" s="159"/>
      <c r="I8" s="39"/>
      <c r="K8" s="159" t="s">
        <v>26</v>
      </c>
      <c r="L8" s="159"/>
      <c r="M8" s="159"/>
      <c r="N8" s="159"/>
      <c r="O8" s="159"/>
      <c r="P8" s="39"/>
      <c r="R8" s="159" t="s">
        <v>27</v>
      </c>
      <c r="S8" s="159"/>
      <c r="T8" s="159"/>
      <c r="U8" s="159"/>
      <c r="V8" s="159"/>
      <c r="W8" s="39"/>
      <c r="Y8" s="159" t="s">
        <v>28</v>
      </c>
      <c r="Z8" s="159"/>
      <c r="AA8" s="159"/>
      <c r="AB8" s="159"/>
      <c r="AC8" s="159"/>
      <c r="AD8" s="39"/>
    </row>
    <row r="9" spans="4:30" ht="12.75">
      <c r="D9" s="39"/>
      <c r="E9" s="39"/>
      <c r="F9" s="39"/>
      <c r="G9" s="39"/>
      <c r="H9" s="39"/>
      <c r="I9" s="39"/>
      <c r="K9" s="39"/>
      <c r="L9" s="39" t="s">
        <v>96</v>
      </c>
      <c r="M9" s="39"/>
      <c r="N9" s="88">
        <f>'Model Comparisons'!H45</f>
        <v>0.2</v>
      </c>
      <c r="O9" s="39" t="s">
        <v>57</v>
      </c>
      <c r="P9" s="39"/>
      <c r="R9" s="39"/>
      <c r="S9" s="39" t="s">
        <v>96</v>
      </c>
      <c r="T9" s="39"/>
      <c r="U9" s="88">
        <f>'Model Comparisons'!H49</f>
        <v>0.1</v>
      </c>
      <c r="V9" s="39" t="s">
        <v>57</v>
      </c>
      <c r="W9" s="39"/>
      <c r="Y9" s="39"/>
      <c r="Z9" s="39" t="s">
        <v>96</v>
      </c>
      <c r="AA9" s="39"/>
      <c r="AB9" s="88">
        <v>0.1</v>
      </c>
      <c r="AC9" s="39" t="s">
        <v>57</v>
      </c>
      <c r="AD9" s="39"/>
    </row>
    <row r="10" spans="1:30" ht="12.75">
      <c r="A10" s="1"/>
      <c r="D10" s="39"/>
      <c r="E10" s="39"/>
      <c r="F10" s="39"/>
      <c r="G10" s="39"/>
      <c r="H10" s="39"/>
      <c r="I10" s="39"/>
      <c r="K10" s="39"/>
      <c r="L10" s="39" t="s">
        <v>191</v>
      </c>
      <c r="M10" s="39"/>
      <c r="N10" s="88">
        <f>'Model Comparisons'!H46</f>
        <v>1.5</v>
      </c>
      <c r="O10" s="39"/>
      <c r="P10" s="39"/>
      <c r="R10" s="39"/>
      <c r="S10" s="39" t="s">
        <v>191</v>
      </c>
      <c r="T10" s="39"/>
      <c r="U10" s="88">
        <f>'Model Comparisons'!H50</f>
        <v>2</v>
      </c>
      <c r="V10" s="39"/>
      <c r="W10" s="39"/>
      <c r="Y10" s="39"/>
      <c r="Z10" s="39" t="s">
        <v>191</v>
      </c>
      <c r="AA10" s="39"/>
      <c r="AB10" s="88">
        <v>2</v>
      </c>
      <c r="AC10" s="39"/>
      <c r="AD10" s="39"/>
    </row>
    <row r="11" spans="1:30" ht="12.75">
      <c r="A11" s="1"/>
      <c r="E11" s="159" t="s">
        <v>41</v>
      </c>
      <c r="F11" s="159"/>
      <c r="G11" s="159"/>
      <c r="H11" s="159"/>
      <c r="I11" s="39"/>
      <c r="L11" s="159" t="s">
        <v>41</v>
      </c>
      <c r="M11" s="159"/>
      <c r="N11" s="159"/>
      <c r="O11" s="159"/>
      <c r="P11" s="39"/>
      <c r="S11" s="159" t="s">
        <v>41</v>
      </c>
      <c r="T11" s="159"/>
      <c r="U11" s="159"/>
      <c r="V11" s="159"/>
      <c r="W11" s="39"/>
      <c r="Z11" s="159" t="s">
        <v>41</v>
      </c>
      <c r="AA11" s="159"/>
      <c r="AB11" s="159"/>
      <c r="AC11" s="159"/>
      <c r="AD11" s="39"/>
    </row>
    <row r="12" spans="1:30" s="86" customFormat="1" ht="36">
      <c r="A12" s="98" t="s">
        <v>36</v>
      </c>
      <c r="B12" s="86" t="s">
        <v>37</v>
      </c>
      <c r="D12" s="86" t="s">
        <v>40</v>
      </c>
      <c r="E12" s="4" t="s">
        <v>108</v>
      </c>
      <c r="F12" s="4" t="s">
        <v>110</v>
      </c>
      <c r="G12" s="4" t="s">
        <v>111</v>
      </c>
      <c r="H12" s="4" t="s">
        <v>261</v>
      </c>
      <c r="I12" s="4" t="s">
        <v>17</v>
      </c>
      <c r="K12" s="86" t="s">
        <v>40</v>
      </c>
      <c r="L12" s="4" t="s">
        <v>108</v>
      </c>
      <c r="M12" s="4" t="s">
        <v>110</v>
      </c>
      <c r="N12" s="4" t="s">
        <v>111</v>
      </c>
      <c r="O12" s="4" t="s">
        <v>261</v>
      </c>
      <c r="P12" s="4" t="s">
        <v>17</v>
      </c>
      <c r="R12" s="86" t="s">
        <v>40</v>
      </c>
      <c r="S12" s="4" t="s">
        <v>108</v>
      </c>
      <c r="T12" s="4" t="s">
        <v>110</v>
      </c>
      <c r="U12" s="4" t="s">
        <v>111</v>
      </c>
      <c r="V12" s="4" t="s">
        <v>261</v>
      </c>
      <c r="W12" s="4" t="s">
        <v>17</v>
      </c>
      <c r="Y12" s="86" t="s">
        <v>40</v>
      </c>
      <c r="Z12" s="4" t="s">
        <v>108</v>
      </c>
      <c r="AA12" s="4" t="s">
        <v>110</v>
      </c>
      <c r="AB12" s="4" t="s">
        <v>111</v>
      </c>
      <c r="AC12" s="4" t="s">
        <v>261</v>
      </c>
      <c r="AD12" s="4" t="s">
        <v>17</v>
      </c>
    </row>
    <row r="13" spans="2:30" s="86" customFormat="1" ht="12.75">
      <c r="B13" t="s">
        <v>149</v>
      </c>
      <c r="E13" s="96">
        <f>IF($A7,Subscriptions!C6,Subscriptions!C5)</f>
        <v>500</v>
      </c>
      <c r="F13" s="96">
        <f>IF($A7,Subscriptions!D6,Subscriptions!D5)</f>
        <v>100</v>
      </c>
      <c r="G13" s="96">
        <f>IF($A7,Subscriptions!E6,Subscriptions!E5)</f>
        <v>10</v>
      </c>
      <c r="H13" s="96">
        <f>IF($A7,Subscriptions!F6,Subscriptions!F5)</f>
        <v>1</v>
      </c>
      <c r="I13" s="4"/>
      <c r="L13" s="96">
        <f aca="true" t="shared" si="0" ref="L13:O14">E13</f>
        <v>500</v>
      </c>
      <c r="M13" s="96">
        <f t="shared" si="0"/>
        <v>100</v>
      </c>
      <c r="N13" s="96">
        <f t="shared" si="0"/>
        <v>10</v>
      </c>
      <c r="O13" s="96">
        <f t="shared" si="0"/>
        <v>1</v>
      </c>
      <c r="P13" s="4"/>
      <c r="S13" s="96">
        <f aca="true" t="shared" si="1" ref="S13:V14">L13</f>
        <v>500</v>
      </c>
      <c r="T13" s="96">
        <f t="shared" si="1"/>
        <v>100</v>
      </c>
      <c r="U13" s="96">
        <f t="shared" si="1"/>
        <v>10</v>
      </c>
      <c r="V13" s="96">
        <f t="shared" si="1"/>
        <v>1</v>
      </c>
      <c r="W13" s="4"/>
      <c r="Z13" s="96">
        <f aca="true" t="shared" si="2" ref="Z13:AC14">S13</f>
        <v>500</v>
      </c>
      <c r="AA13" s="96">
        <f t="shared" si="2"/>
        <v>100</v>
      </c>
      <c r="AB13" s="96">
        <f t="shared" si="2"/>
        <v>10</v>
      </c>
      <c r="AC13" s="96">
        <f t="shared" si="2"/>
        <v>1</v>
      </c>
      <c r="AD13" s="4"/>
    </row>
    <row r="14" spans="2:29" ht="12.75">
      <c r="B14" t="s">
        <v>19</v>
      </c>
      <c r="D14">
        <v>1</v>
      </c>
      <c r="E14">
        <f>IF($A$7,Subscriptions!C79,Subscriptions!C78)</f>
        <v>80</v>
      </c>
      <c r="F14">
        <f>IF($A$7,Subscriptions!D79,Subscriptions!D78)</f>
        <v>387.5</v>
      </c>
      <c r="G14">
        <f>IF($A$7,Subscriptions!E79,Subscriptions!E78)</f>
        <v>1375</v>
      </c>
      <c r="H14">
        <f>IF($A$7,Subscriptions!F79,Subscriptions!F78)</f>
        <v>2250</v>
      </c>
      <c r="K14">
        <v>1</v>
      </c>
      <c r="L14">
        <f t="shared" si="0"/>
        <v>80</v>
      </c>
      <c r="M14">
        <f t="shared" si="0"/>
        <v>387.5</v>
      </c>
      <c r="N14">
        <f t="shared" si="0"/>
        <v>1375</v>
      </c>
      <c r="O14">
        <f t="shared" si="0"/>
        <v>2250</v>
      </c>
      <c r="R14">
        <v>1</v>
      </c>
      <c r="S14">
        <f t="shared" si="1"/>
        <v>80</v>
      </c>
      <c r="T14">
        <f t="shared" si="1"/>
        <v>387.5</v>
      </c>
      <c r="U14">
        <f t="shared" si="1"/>
        <v>1375</v>
      </c>
      <c r="V14">
        <f t="shared" si="1"/>
        <v>2250</v>
      </c>
      <c r="Y14">
        <v>1</v>
      </c>
      <c r="Z14">
        <f t="shared" si="2"/>
        <v>80</v>
      </c>
      <c r="AA14">
        <f t="shared" si="2"/>
        <v>387.5</v>
      </c>
      <c r="AB14">
        <f t="shared" si="2"/>
        <v>1375</v>
      </c>
      <c r="AC14">
        <f t="shared" si="2"/>
        <v>2250</v>
      </c>
    </row>
    <row r="16" spans="1:2" ht="12.75">
      <c r="A16" s="159" t="s">
        <v>89</v>
      </c>
      <c r="B16" s="159"/>
    </row>
    <row r="17" spans="1:31" ht="12.75">
      <c r="A17" t="s">
        <v>42</v>
      </c>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row>
    <row r="18" spans="1:29" s="91" customFormat="1" ht="12.75">
      <c r="A18" s="90" t="s">
        <v>99</v>
      </c>
      <c r="B18" s="90" t="s">
        <v>98</v>
      </c>
      <c r="D18" s="91">
        <v>1</v>
      </c>
      <c r="E18" s="91">
        <f>$A$19*E14</f>
        <v>16</v>
      </c>
      <c r="F18" s="91">
        <f>$A$19*F14</f>
        <v>77.5</v>
      </c>
      <c r="G18" s="91">
        <f>$A$19*G14</f>
        <v>275</v>
      </c>
      <c r="H18" s="91">
        <f>$A$19*H14</f>
        <v>450</v>
      </c>
      <c r="K18" s="91">
        <v>1</v>
      </c>
      <c r="L18" s="91">
        <f>$A$19*L14</f>
        <v>16</v>
      </c>
      <c r="M18" s="91">
        <f>$A$19*M14</f>
        <v>77.5</v>
      </c>
      <c r="N18" s="91">
        <f>$A$19*N14</f>
        <v>275</v>
      </c>
      <c r="O18" s="91">
        <f>$A$19*O14</f>
        <v>450</v>
      </c>
      <c r="R18" s="91">
        <v>1</v>
      </c>
      <c r="S18" s="91">
        <f>$A$19*S14</f>
        <v>16</v>
      </c>
      <c r="T18" s="91">
        <f>$A$19*T14</f>
        <v>77.5</v>
      </c>
      <c r="U18" s="91">
        <f>$A$19*U14</f>
        <v>275</v>
      </c>
      <c r="V18" s="91">
        <f>$A$19*V14</f>
        <v>450</v>
      </c>
      <c r="Y18" s="91">
        <v>1</v>
      </c>
      <c r="Z18" s="91">
        <f>$A$19*Z14</f>
        <v>16</v>
      </c>
      <c r="AA18" s="91">
        <f>$A$19*AA14</f>
        <v>77.5</v>
      </c>
      <c r="AB18" s="91">
        <f>$A$19*AB14</f>
        <v>275</v>
      </c>
      <c r="AC18" s="91">
        <f>$A$19*AC14</f>
        <v>450</v>
      </c>
    </row>
    <row r="19" spans="1:31" ht="12.75">
      <c r="A19" s="89">
        <f>'Model Comparisons'!B25</f>
        <v>0.2</v>
      </c>
      <c r="B19" t="s">
        <v>18</v>
      </c>
      <c r="D19" s="87">
        <f>'Subscription costs'!M22</f>
        <v>50</v>
      </c>
      <c r="E19" s="87">
        <f>D19</f>
        <v>50</v>
      </c>
      <c r="F19" s="87">
        <f>D19</f>
        <v>50</v>
      </c>
      <c r="G19" s="87">
        <f>D19</f>
        <v>50</v>
      </c>
      <c r="H19" s="87">
        <f>D19</f>
        <v>50</v>
      </c>
      <c r="I19" s="87"/>
      <c r="J19" s="87"/>
      <c r="K19" s="87">
        <f>D19</f>
        <v>50</v>
      </c>
      <c r="L19" s="87">
        <f>K19</f>
        <v>50</v>
      </c>
      <c r="M19" s="87">
        <f>K19</f>
        <v>50</v>
      </c>
      <c r="N19" s="87">
        <f>K19</f>
        <v>50</v>
      </c>
      <c r="O19" s="87">
        <f>K19</f>
        <v>50</v>
      </c>
      <c r="P19" s="87"/>
      <c r="Q19" s="87"/>
      <c r="R19" s="87">
        <f>K19</f>
        <v>50</v>
      </c>
      <c r="S19" s="87">
        <f>R19</f>
        <v>50</v>
      </c>
      <c r="T19" s="87">
        <f>R19</f>
        <v>50</v>
      </c>
      <c r="U19" s="87">
        <f>R19</f>
        <v>50</v>
      </c>
      <c r="V19" s="87">
        <f>R19</f>
        <v>50</v>
      </c>
      <c r="W19" s="87"/>
      <c r="X19" s="87"/>
      <c r="Y19" s="87">
        <f>R19</f>
        <v>50</v>
      </c>
      <c r="Z19" s="87">
        <f>Y19</f>
        <v>50</v>
      </c>
      <c r="AA19" s="87">
        <f>Y19</f>
        <v>50</v>
      </c>
      <c r="AB19" s="87">
        <f>Y19</f>
        <v>50</v>
      </c>
      <c r="AC19" s="87">
        <f>Y19</f>
        <v>50</v>
      </c>
      <c r="AD19" s="87"/>
      <c r="AE19" s="87"/>
    </row>
    <row r="20" spans="2:31" ht="12.75">
      <c r="B20" t="s">
        <v>38</v>
      </c>
      <c r="D20" s="87">
        <f>D19*D18</f>
        <v>50</v>
      </c>
      <c r="E20" s="87">
        <f>E19*E18</f>
        <v>800</v>
      </c>
      <c r="F20" s="87">
        <f>F19*F18</f>
        <v>3875</v>
      </c>
      <c r="G20" s="87">
        <f>G19*G18</f>
        <v>13750</v>
      </c>
      <c r="H20" s="87">
        <f>H19*H18</f>
        <v>22500</v>
      </c>
      <c r="I20" s="87"/>
      <c r="J20" s="87"/>
      <c r="K20" s="87">
        <f>K19*K18</f>
        <v>50</v>
      </c>
      <c r="L20" s="87">
        <f>L19*L18</f>
        <v>800</v>
      </c>
      <c r="M20" s="87">
        <f>M19*M18</f>
        <v>3875</v>
      </c>
      <c r="N20" s="87">
        <f>N19*N18</f>
        <v>13750</v>
      </c>
      <c r="O20" s="87">
        <f>O19*O18</f>
        <v>22500</v>
      </c>
      <c r="P20" s="87"/>
      <c r="Q20" s="87"/>
      <c r="R20" s="87">
        <f>R19*R18</f>
        <v>50</v>
      </c>
      <c r="S20" s="87">
        <f>S19*S18</f>
        <v>800</v>
      </c>
      <c r="T20" s="87">
        <f>T19*T18</f>
        <v>3875</v>
      </c>
      <c r="U20" s="87">
        <f>U19*U18</f>
        <v>13750</v>
      </c>
      <c r="V20" s="87">
        <f>V19*V18</f>
        <v>22500</v>
      </c>
      <c r="W20" s="87"/>
      <c r="X20" s="87"/>
      <c r="Y20" s="87">
        <f>Y19*Y18</f>
        <v>50</v>
      </c>
      <c r="Z20" s="87">
        <f>Z19*Z18</f>
        <v>800</v>
      </c>
      <c r="AA20" s="87">
        <f>AA19*AA18</f>
        <v>3875</v>
      </c>
      <c r="AB20" s="87">
        <f>AB19*AB18</f>
        <v>13750</v>
      </c>
      <c r="AC20" s="87">
        <f>AC19*AC18</f>
        <v>22500</v>
      </c>
      <c r="AD20" s="87"/>
      <c r="AE20" s="87"/>
    </row>
    <row r="21" spans="2:31" ht="12.75">
      <c r="B21" t="s">
        <v>39</v>
      </c>
      <c r="D21" s="87">
        <v>0</v>
      </c>
      <c r="E21" s="87">
        <v>0</v>
      </c>
      <c r="F21" s="87">
        <v>0</v>
      </c>
      <c r="G21" s="87">
        <v>0</v>
      </c>
      <c r="H21" s="87">
        <v>0</v>
      </c>
      <c r="I21" s="87">
        <f>MAX(D21:H21)</f>
        <v>0</v>
      </c>
      <c r="J21" s="87"/>
      <c r="K21" s="87">
        <f>K19*K18</f>
        <v>50</v>
      </c>
      <c r="L21" s="87">
        <f>L19*L18</f>
        <v>800</v>
      </c>
      <c r="M21" s="87">
        <f>M19*M18</f>
        <v>3875</v>
      </c>
      <c r="N21" s="87">
        <f>N19*N18</f>
        <v>13750</v>
      </c>
      <c r="O21" s="87">
        <f>O19*O18</f>
        <v>22500</v>
      </c>
      <c r="P21" s="87">
        <f>MAX(K21:O21)</f>
        <v>22500</v>
      </c>
      <c r="Q21" s="87"/>
      <c r="R21" s="87">
        <f>R19*R18</f>
        <v>50</v>
      </c>
      <c r="S21" s="87">
        <f>S19*S18</f>
        <v>800</v>
      </c>
      <c r="T21" s="87">
        <f>T19*T18</f>
        <v>3875</v>
      </c>
      <c r="U21" s="87">
        <f>U19*U18</f>
        <v>13750</v>
      </c>
      <c r="V21" s="87">
        <f>V19*V18</f>
        <v>22500</v>
      </c>
      <c r="W21" s="87">
        <f>MAX(R21:V21)</f>
        <v>22500</v>
      </c>
      <c r="X21" s="87"/>
      <c r="Y21" s="87">
        <f>Y19*Y18</f>
        <v>50</v>
      </c>
      <c r="Z21" s="87">
        <f>Z19*Z18</f>
        <v>800</v>
      </c>
      <c r="AA21" s="87">
        <f>AA19*AA18</f>
        <v>3875</v>
      </c>
      <c r="AB21" s="87">
        <f>AB19*AB18</f>
        <v>13750</v>
      </c>
      <c r="AC21" s="87">
        <f>AC19*AC18</f>
        <v>22500</v>
      </c>
      <c r="AD21" s="87">
        <f>MAX(Y21:AC21)</f>
        <v>22500</v>
      </c>
      <c r="AE21" s="87"/>
    </row>
    <row r="22" spans="4:31" ht="12.75">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row>
    <row r="23" spans="1:31" ht="12.75">
      <c r="A23" t="s">
        <v>21</v>
      </c>
      <c r="D23" s="87"/>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row>
    <row r="24" spans="2:31" ht="12.75">
      <c r="B24" t="s">
        <v>18</v>
      </c>
      <c r="D24" s="87">
        <f>'Subscription costs'!M22</f>
        <v>50</v>
      </c>
      <c r="E24" s="87">
        <f>D24</f>
        <v>50</v>
      </c>
      <c r="F24" s="87">
        <f>E24</f>
        <v>50</v>
      </c>
      <c r="G24" s="87">
        <f>F24</f>
        <v>50</v>
      </c>
      <c r="H24" s="87">
        <f>G24</f>
        <v>50</v>
      </c>
      <c r="I24" s="87"/>
      <c r="J24" s="87"/>
      <c r="K24" s="87">
        <f>D24</f>
        <v>50</v>
      </c>
      <c r="L24" s="87">
        <f>K24</f>
        <v>50</v>
      </c>
      <c r="M24" s="87">
        <f>L24</f>
        <v>50</v>
      </c>
      <c r="N24" s="87">
        <f>M24</f>
        <v>50</v>
      </c>
      <c r="O24" s="87">
        <f>N24</f>
        <v>50</v>
      </c>
      <c r="P24" s="87"/>
      <c r="Q24" s="87"/>
      <c r="R24" s="87">
        <f>K24</f>
        <v>50</v>
      </c>
      <c r="S24" s="87">
        <f>R24</f>
        <v>50</v>
      </c>
      <c r="T24" s="87">
        <f>S24</f>
        <v>50</v>
      </c>
      <c r="U24" s="87">
        <f>T24</f>
        <v>50</v>
      </c>
      <c r="V24" s="87">
        <f>U24</f>
        <v>50</v>
      </c>
      <c r="W24" s="87"/>
      <c r="X24" s="87"/>
      <c r="Y24" s="87">
        <f>R24</f>
        <v>50</v>
      </c>
      <c r="Z24" s="87">
        <f>Y24</f>
        <v>50</v>
      </c>
      <c r="AA24" s="87">
        <f>Z24</f>
        <v>50</v>
      </c>
      <c r="AB24" s="87">
        <f>AA24</f>
        <v>50</v>
      </c>
      <c r="AC24" s="87">
        <f>AB24</f>
        <v>50</v>
      </c>
      <c r="AD24" s="87"/>
      <c r="AE24" s="87"/>
    </row>
    <row r="25" spans="2:31" ht="12.75">
      <c r="B25" t="s">
        <v>38</v>
      </c>
      <c r="D25" s="87">
        <f>D24*D$14</f>
        <v>50</v>
      </c>
      <c r="E25" s="87">
        <f>E24*E$14</f>
        <v>4000</v>
      </c>
      <c r="F25" s="87">
        <f>F24*F$14</f>
        <v>19375</v>
      </c>
      <c r="G25" s="87">
        <f>G24*G$14</f>
        <v>68750</v>
      </c>
      <c r="H25" s="87">
        <f>H24*H$14</f>
        <v>112500</v>
      </c>
      <c r="I25" s="87"/>
      <c r="J25" s="87"/>
      <c r="K25" s="87">
        <f>K24*K$14*$N$9</f>
        <v>10</v>
      </c>
      <c r="L25" s="87">
        <f>L24*L$14*$N$9</f>
        <v>800</v>
      </c>
      <c r="M25" s="87">
        <f>M24*M$14*$N$9</f>
        <v>3875</v>
      </c>
      <c r="N25" s="87">
        <f>N24*N$14*$N$9</f>
        <v>13750</v>
      </c>
      <c r="O25" s="87">
        <f>O24*O$14*$N$9</f>
        <v>22500</v>
      </c>
      <c r="P25" s="87"/>
      <c r="Q25" s="87"/>
      <c r="R25" s="87">
        <f>R24*R$14*$U$9</f>
        <v>5</v>
      </c>
      <c r="S25" s="87">
        <f>S24*S$14*$U$9</f>
        <v>400</v>
      </c>
      <c r="T25" s="87">
        <f>T24*T$14*$U$9</f>
        <v>1937.5</v>
      </c>
      <c r="U25" s="87">
        <f>U24*U$14*$U$9</f>
        <v>6875</v>
      </c>
      <c r="V25" s="87">
        <f>V24*V$14*$U$9</f>
        <v>11250</v>
      </c>
      <c r="W25" s="87"/>
      <c r="X25" s="87"/>
      <c r="Y25" s="87">
        <f>Y24*Y$14</f>
        <v>50</v>
      </c>
      <c r="Z25" s="87">
        <f>Z24*Z$14*$U$9</f>
        <v>400</v>
      </c>
      <c r="AA25" s="87">
        <f>AA24*AA$14*$U$9</f>
        <v>1937.5</v>
      </c>
      <c r="AB25" s="87">
        <f>AB24*AB$14*$U$9</f>
        <v>6875</v>
      </c>
      <c r="AC25" s="87">
        <f>AC24*AC$14*$U$9</f>
        <v>11250</v>
      </c>
      <c r="AD25" s="87"/>
      <c r="AE25" s="87"/>
    </row>
    <row r="26" spans="2:31" ht="12.75">
      <c r="B26" t="s">
        <v>39</v>
      </c>
      <c r="D26" s="87">
        <v>0</v>
      </c>
      <c r="E26" s="87">
        <v>0</v>
      </c>
      <c r="F26" s="87">
        <v>0</v>
      </c>
      <c r="G26" s="87">
        <v>0</v>
      </c>
      <c r="H26" s="87">
        <v>0</v>
      </c>
      <c r="I26" s="87">
        <f>MAX(D26:H26)</f>
        <v>0</v>
      </c>
      <c r="J26" s="87"/>
      <c r="K26" s="87">
        <f>K24*K$14</f>
        <v>50</v>
      </c>
      <c r="L26" s="87">
        <f>L24*L$14</f>
        <v>4000</v>
      </c>
      <c r="M26" s="87">
        <f>M24*M$14</f>
        <v>19375</v>
      </c>
      <c r="N26" s="87">
        <f>N24*N$14</f>
        <v>68750</v>
      </c>
      <c r="O26" s="87">
        <f>O24*O$14</f>
        <v>112500</v>
      </c>
      <c r="P26" s="87">
        <f>MAX(K26:O26)</f>
        <v>112500</v>
      </c>
      <c r="Q26" s="87"/>
      <c r="R26" s="87">
        <f>R24*R$14</f>
        <v>50</v>
      </c>
      <c r="S26" s="87">
        <f>S24*S$14</f>
        <v>4000</v>
      </c>
      <c r="T26" s="87">
        <f>T24*T$14</f>
        <v>19375</v>
      </c>
      <c r="U26" s="87">
        <f>U24*U$14</f>
        <v>68750</v>
      </c>
      <c r="V26" s="87">
        <f>V24*V$14</f>
        <v>112500</v>
      </c>
      <c r="W26" s="87">
        <f>MAX(R26:V26)</f>
        <v>112500</v>
      </c>
      <c r="X26" s="87"/>
      <c r="Y26" s="87">
        <f>Y24*Y$14</f>
        <v>50</v>
      </c>
      <c r="Z26" s="87">
        <f>Z24*Z$14</f>
        <v>4000</v>
      </c>
      <c r="AA26" s="87">
        <f>AA24*AA$14</f>
        <v>19375</v>
      </c>
      <c r="AB26" s="87">
        <f>AB24*AB$14</f>
        <v>68750</v>
      </c>
      <c r="AC26" s="87">
        <f>AC24*AC$14</f>
        <v>112500</v>
      </c>
      <c r="AD26" s="87">
        <f>MAX(Y26:AC26)</f>
        <v>112500</v>
      </c>
      <c r="AE26" s="87"/>
    </row>
    <row r="27" spans="4:31" ht="12.75">
      <c r="D27" s="87"/>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row>
    <row r="28" spans="1:31" ht="12.75">
      <c r="A28" t="s">
        <v>100</v>
      </c>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row>
    <row r="29" spans="1:31" ht="12.75">
      <c r="A29" t="s">
        <v>97</v>
      </c>
      <c r="B29" t="s">
        <v>18</v>
      </c>
      <c r="D29" s="87">
        <f>D24*$A$30</f>
        <v>100</v>
      </c>
      <c r="E29" s="87">
        <f>E24*$A$30</f>
        <v>100</v>
      </c>
      <c r="F29" s="87">
        <f>F24*$A$30</f>
        <v>100</v>
      </c>
      <c r="G29" s="87">
        <f>G24*$A$30</f>
        <v>100</v>
      </c>
      <c r="H29" s="87">
        <f>H24*$A$30</f>
        <v>100</v>
      </c>
      <c r="I29" s="87"/>
      <c r="J29" s="87"/>
      <c r="K29" s="87">
        <f>K24*$A$30</f>
        <v>100</v>
      </c>
      <c r="L29" s="87">
        <f>L24*$A$30</f>
        <v>100</v>
      </c>
      <c r="M29" s="87">
        <f>M24*$A$30</f>
        <v>100</v>
      </c>
      <c r="N29" s="87">
        <f>N24*$A$30</f>
        <v>100</v>
      </c>
      <c r="O29" s="87">
        <f>O24*$A$30</f>
        <v>100</v>
      </c>
      <c r="P29" s="87"/>
      <c r="Q29" s="87"/>
      <c r="R29" s="87">
        <f>R24*$A$30</f>
        <v>100</v>
      </c>
      <c r="S29" s="87">
        <f>S24*$A$30</f>
        <v>100</v>
      </c>
      <c r="T29" s="87">
        <f>T24*$A$30</f>
        <v>100</v>
      </c>
      <c r="U29" s="87">
        <f>U24*$A$30</f>
        <v>100</v>
      </c>
      <c r="V29" s="87">
        <f>V24*$A$30</f>
        <v>100</v>
      </c>
      <c r="W29" s="87"/>
      <c r="X29" s="87"/>
      <c r="Y29" s="87">
        <f>Y24*$A$30</f>
        <v>100</v>
      </c>
      <c r="Z29" s="87">
        <f>Z24*$A$30</f>
        <v>100</v>
      </c>
      <c r="AA29" s="87">
        <f>AA24*$A$30</f>
        <v>100</v>
      </c>
      <c r="AB29" s="87">
        <f>AB24*$A$30</f>
        <v>100</v>
      </c>
      <c r="AC29" s="87">
        <f>AC24*$A$30</f>
        <v>100</v>
      </c>
      <c r="AD29" s="87"/>
      <c r="AE29" s="87"/>
    </row>
    <row r="30" spans="1:31" ht="12.75">
      <c r="A30" s="89">
        <v>2</v>
      </c>
      <c r="B30" t="s">
        <v>38</v>
      </c>
      <c r="D30" s="87">
        <f>D29*D$14</f>
        <v>100</v>
      </c>
      <c r="E30" s="87">
        <f>E29*E$14</f>
        <v>8000</v>
      </c>
      <c r="F30" s="87">
        <f>F29*F$14</f>
        <v>38750</v>
      </c>
      <c r="G30" s="87">
        <f>G29*G$14</f>
        <v>137500</v>
      </c>
      <c r="H30" s="87">
        <f>H29*H$14</f>
        <v>225000</v>
      </c>
      <c r="I30" s="87"/>
      <c r="J30" s="87"/>
      <c r="K30" s="87">
        <f>K29*K$14</f>
        <v>100</v>
      </c>
      <c r="L30" s="87">
        <f>L29*L$14</f>
        <v>8000</v>
      </c>
      <c r="M30" s="87">
        <f>M29*M$14</f>
        <v>38750</v>
      </c>
      <c r="N30" s="87">
        <f>N29*N$14</f>
        <v>137500</v>
      </c>
      <c r="O30" s="87">
        <f>O29*O$14</f>
        <v>225000</v>
      </c>
      <c r="P30" s="87"/>
      <c r="Q30" s="87"/>
      <c r="R30" s="87">
        <f>R29*R$14*$U$9</f>
        <v>10</v>
      </c>
      <c r="S30" s="87">
        <f>S29*S$14*$U$9</f>
        <v>800</v>
      </c>
      <c r="T30" s="87">
        <f>T29*T$14*$U$9</f>
        <v>3875</v>
      </c>
      <c r="U30" s="87">
        <f>U29*U$14*$U$9</f>
        <v>13750</v>
      </c>
      <c r="V30" s="87">
        <f>V29*V$14*$U$9</f>
        <v>22500</v>
      </c>
      <c r="W30" s="87"/>
      <c r="X30" s="87"/>
      <c r="Y30" s="87">
        <f>Y29*Y$14*$AB$9</f>
        <v>10</v>
      </c>
      <c r="Z30" s="87">
        <f>Z29*Z$14*$AB$9</f>
        <v>800</v>
      </c>
      <c r="AA30" s="87">
        <f>AA29*AA$14*$AB$9</f>
        <v>3875</v>
      </c>
      <c r="AB30" s="87">
        <f>AB29*AB$14*$AB$9</f>
        <v>13750</v>
      </c>
      <c r="AC30" s="87">
        <f>AC29*AC$14*$AB$9</f>
        <v>22500</v>
      </c>
      <c r="AD30" s="87"/>
      <c r="AE30" s="87"/>
    </row>
    <row r="31" spans="2:31" ht="12.75">
      <c r="B31" t="s">
        <v>39</v>
      </c>
      <c r="D31" s="87">
        <v>0</v>
      </c>
      <c r="E31" s="87">
        <v>0</v>
      </c>
      <c r="F31" s="87">
        <v>0</v>
      </c>
      <c r="G31" s="87">
        <v>0</v>
      </c>
      <c r="H31" s="87">
        <v>0</v>
      </c>
      <c r="I31" s="87">
        <f>MAX(D31:H31)</f>
        <v>0</v>
      </c>
      <c r="J31" s="87"/>
      <c r="K31" s="87">
        <v>0</v>
      </c>
      <c r="L31" s="87">
        <v>0</v>
      </c>
      <c r="M31" s="87">
        <v>0</v>
      </c>
      <c r="N31" s="87">
        <v>0</v>
      </c>
      <c r="O31" s="87">
        <v>0</v>
      </c>
      <c r="P31" s="87">
        <f>MAX(K31:O31)</f>
        <v>0</v>
      </c>
      <c r="Q31" s="87"/>
      <c r="R31" s="87">
        <f>R29*R$14</f>
        <v>100</v>
      </c>
      <c r="S31" s="87">
        <f>S29*S$14</f>
        <v>8000</v>
      </c>
      <c r="T31" s="87">
        <f>T29*T$14</f>
        <v>38750</v>
      </c>
      <c r="U31" s="87">
        <f>U29*U$14</f>
        <v>137500</v>
      </c>
      <c r="V31" s="87">
        <f>V29*V$14</f>
        <v>225000</v>
      </c>
      <c r="W31" s="87">
        <f>MAX(R31:V31)</f>
        <v>225000</v>
      </c>
      <c r="X31" s="87"/>
      <c r="Y31" s="87">
        <f>Y29*Y$14</f>
        <v>100</v>
      </c>
      <c r="Z31" s="87">
        <f>Z29*Z$14</f>
        <v>8000</v>
      </c>
      <c r="AA31" s="87">
        <f>AA29*AA$14</f>
        <v>38750</v>
      </c>
      <c r="AB31" s="87">
        <f>AB29*AB$14</f>
        <v>137500</v>
      </c>
      <c r="AC31" s="87">
        <f>AC29*AC$14</f>
        <v>225000</v>
      </c>
      <c r="AD31" s="87">
        <f>MAX(Y31:AC31)</f>
        <v>225000</v>
      </c>
      <c r="AE31" s="87"/>
    </row>
    <row r="32" spans="4:31" ht="12.75">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row>
    <row r="33" spans="1:31" ht="12.75">
      <c r="A33" t="s">
        <v>95</v>
      </c>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row>
    <row r="34" spans="2:31" ht="12.75">
      <c r="B34" t="s">
        <v>18</v>
      </c>
      <c r="D34" s="87">
        <v>0</v>
      </c>
      <c r="E34" s="87">
        <f>E35/E14</f>
        <v>0.0168515625</v>
      </c>
      <c r="F34" s="87">
        <f>F35/F14</f>
        <v>0.24463709677419354</v>
      </c>
      <c r="G34" s="87">
        <f>G35/G14</f>
        <v>2.1772727272727272</v>
      </c>
      <c r="H34" s="87">
        <f>H35/H14</f>
        <v>76.64166666666667</v>
      </c>
      <c r="I34" s="87"/>
      <c r="J34" s="87"/>
      <c r="K34" s="87"/>
      <c r="L34" s="87">
        <f>E34</f>
        <v>0.0168515625</v>
      </c>
      <c r="M34" s="87">
        <f>F34</f>
        <v>0.24463709677419354</v>
      </c>
      <c r="N34" s="87">
        <f>G34</f>
        <v>2.1772727272727272</v>
      </c>
      <c r="O34" s="87">
        <f>H34</f>
        <v>76.64166666666667</v>
      </c>
      <c r="P34" s="87"/>
      <c r="Q34" s="87"/>
      <c r="R34" s="87"/>
      <c r="S34" s="87">
        <f>S36/S14</f>
        <v>0.0168515625</v>
      </c>
      <c r="T34" s="87">
        <f>T36/T14</f>
        <v>0.24463709677419354</v>
      </c>
      <c r="U34" s="87">
        <f>U36/U14</f>
        <v>2.1772727272727272</v>
      </c>
      <c r="V34" s="87">
        <f>V36/V14</f>
        <v>76.64166666666667</v>
      </c>
      <c r="W34" s="87"/>
      <c r="X34" s="87"/>
      <c r="Y34" s="87"/>
      <c r="Z34" s="87">
        <f>S34</f>
        <v>0.0168515625</v>
      </c>
      <c r="AA34" s="87">
        <f>T34</f>
        <v>0.24463709677419354</v>
      </c>
      <c r="AB34" s="87">
        <f>U34</f>
        <v>2.1772727272727272</v>
      </c>
      <c r="AC34" s="87">
        <f>V34</f>
        <v>76.64166666666667</v>
      </c>
      <c r="AD34" s="87"/>
      <c r="AE34" s="87"/>
    </row>
    <row r="35" spans="2:31" ht="12.75">
      <c r="B35" t="s">
        <v>38</v>
      </c>
      <c r="D35" s="87">
        <f>D34*D$14</f>
        <v>0</v>
      </c>
      <c r="E35" s="87">
        <f>IF($A7,'Xfer &amp; Storage Cost'!C79,'Xfer &amp; Storage Cost'!C78)</f>
        <v>1.348125</v>
      </c>
      <c r="F35" s="87">
        <f>IF($A7,'Xfer &amp; Storage Cost'!D79,'Xfer &amp; Storage Cost'!D78)</f>
        <v>94.796875</v>
      </c>
      <c r="G35" s="87">
        <f>IF($A7,'Xfer &amp; Storage Cost'!E79,'Xfer &amp; Storage Cost'!E78)</f>
        <v>2993.75</v>
      </c>
      <c r="H35" s="87">
        <f>IF($A7,'Xfer &amp; Storage Cost'!F79,'Xfer &amp; Storage Cost'!F78)</f>
        <v>172443.75</v>
      </c>
      <c r="I35" s="87"/>
      <c r="J35" s="87"/>
      <c r="K35" s="87">
        <f>K34*K$14</f>
        <v>0</v>
      </c>
      <c r="L35" s="87">
        <f>IF($A7,'Xfer &amp; Storage Cost'!C79,'Xfer &amp; Storage Cost'!C78)</f>
        <v>1.348125</v>
      </c>
      <c r="M35" s="87">
        <f>IF($A7,'Xfer &amp; Storage Cost'!D79,'Xfer &amp; Storage Cost'!D78)</f>
        <v>94.796875</v>
      </c>
      <c r="N35" s="87">
        <f>IF($A7,'Xfer &amp; Storage Cost'!E79,'Xfer &amp; Storage Cost'!E78)</f>
        <v>2993.75</v>
      </c>
      <c r="O35" s="87">
        <f>IF($A7,'Xfer &amp; Storage Cost'!F79,'Xfer &amp; Storage Cost'!F78)</f>
        <v>172443.75</v>
      </c>
      <c r="P35" s="87"/>
      <c r="Q35" s="87"/>
      <c r="R35" s="87">
        <f>R34</f>
        <v>0</v>
      </c>
      <c r="S35" s="87">
        <f>S36/S14</f>
        <v>0.0168515625</v>
      </c>
      <c r="T35" s="87">
        <f>T36/T14</f>
        <v>0.24463709677419354</v>
      </c>
      <c r="U35" s="87">
        <f>U36/U14</f>
        <v>2.1772727272727272</v>
      </c>
      <c r="V35" s="87">
        <f>V36/V14</f>
        <v>76.64166666666667</v>
      </c>
      <c r="W35" s="87"/>
      <c r="X35" s="87"/>
      <c r="Y35" s="87">
        <f>Y34*Y$14</f>
        <v>0</v>
      </c>
      <c r="Z35" s="87">
        <f>IF($A7,'Xfer &amp; Storage Cost'!C79,'Xfer &amp; Storage Cost'!C78)</f>
        <v>1.348125</v>
      </c>
      <c r="AA35" s="87">
        <f>IF($A7,'Xfer &amp; Storage Cost'!D79,'Xfer &amp; Storage Cost'!D78)</f>
        <v>94.796875</v>
      </c>
      <c r="AB35" s="87">
        <f>IF($A7,'Xfer &amp; Storage Cost'!E79,'Xfer &amp; Storage Cost'!E78)</f>
        <v>2993.75</v>
      </c>
      <c r="AC35" s="87">
        <f>IF($A7,'Xfer &amp; Storage Cost'!F79,'Xfer &amp; Storage Cost'!F78)</f>
        <v>172443.75</v>
      </c>
      <c r="AD35" s="87"/>
      <c r="AE35" s="87"/>
    </row>
    <row r="36" spans="2:31" ht="12.75">
      <c r="B36" t="s">
        <v>39</v>
      </c>
      <c r="D36" s="87">
        <v>0</v>
      </c>
      <c r="E36" s="87">
        <v>0</v>
      </c>
      <c r="F36" s="87">
        <v>0</v>
      </c>
      <c r="G36" s="87">
        <v>0</v>
      </c>
      <c r="H36" s="87">
        <v>0</v>
      </c>
      <c r="I36" s="87">
        <f>SUM(D36:H36)</f>
        <v>0</v>
      </c>
      <c r="J36" s="87"/>
      <c r="K36" s="87">
        <v>0</v>
      </c>
      <c r="L36" s="87">
        <v>0</v>
      </c>
      <c r="M36" s="87">
        <v>0</v>
      </c>
      <c r="N36" s="87">
        <v>0</v>
      </c>
      <c r="O36" s="87">
        <v>0</v>
      </c>
      <c r="P36" s="87">
        <f>MAX(K36:O36)</f>
        <v>0</v>
      </c>
      <c r="Q36" s="87"/>
      <c r="R36" s="87">
        <f>R34*R$14</f>
        <v>0</v>
      </c>
      <c r="S36" s="87">
        <f>IF($A7,'Xfer &amp; Storage Cost'!C79,'Xfer &amp; Storage Cost'!C78)</f>
        <v>1.348125</v>
      </c>
      <c r="T36" s="87">
        <f>IF($A7,'Xfer &amp; Storage Cost'!D79,'Xfer &amp; Storage Cost'!D78)</f>
        <v>94.796875</v>
      </c>
      <c r="U36" s="87">
        <f>IF($A7,'Xfer &amp; Storage Cost'!E79,'Xfer &amp; Storage Cost'!E78)</f>
        <v>2993.75</v>
      </c>
      <c r="V36" s="87">
        <f>IF($A7,'Xfer &amp; Storage Cost'!F79,'Xfer &amp; Storage Cost'!F78)</f>
        <v>172443.75</v>
      </c>
      <c r="W36" s="87">
        <f>SUM(R36:V36)</f>
        <v>175533.645</v>
      </c>
      <c r="X36" s="87"/>
      <c r="Y36" s="87">
        <v>0</v>
      </c>
      <c r="Z36" s="87">
        <v>0</v>
      </c>
      <c r="AA36" s="87">
        <v>0</v>
      </c>
      <c r="AB36" s="87">
        <v>0</v>
      </c>
      <c r="AC36" s="87">
        <v>0</v>
      </c>
      <c r="AD36" s="87">
        <f>MAX(Y36:AC36)</f>
        <v>0</v>
      </c>
      <c r="AE36" s="87"/>
    </row>
    <row r="37" spans="4:31" ht="12.75">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row>
    <row r="38" spans="1:31" ht="12.75">
      <c r="A38" t="s">
        <v>92</v>
      </c>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row>
    <row r="39" spans="2:31" ht="12.75">
      <c r="B39" t="s">
        <v>18</v>
      </c>
      <c r="D39" s="87">
        <f>D34+D29+D24+D19</f>
        <v>200</v>
      </c>
      <c r="E39" s="87">
        <f>E34+E24+E19</f>
        <v>100.0168515625</v>
      </c>
      <c r="F39" s="87">
        <f>F34+F24+F19</f>
        <v>100.2446370967742</v>
      </c>
      <c r="G39" s="87">
        <f>G34+G24+G19</f>
        <v>102.17727272727274</v>
      </c>
      <c r="H39" s="87">
        <f>H34+H24+H19</f>
        <v>176.64166666666665</v>
      </c>
      <c r="I39" s="87"/>
      <c r="J39" s="87"/>
      <c r="K39" s="87">
        <f>K34+K24+K19</f>
        <v>100</v>
      </c>
      <c r="L39" s="87">
        <f>L34+L24+L19</f>
        <v>100.0168515625</v>
      </c>
      <c r="M39" s="87">
        <f>M34+M24+M19</f>
        <v>100.2446370967742</v>
      </c>
      <c r="N39" s="87">
        <f>N34+N24+N19</f>
        <v>102.17727272727274</v>
      </c>
      <c r="O39" s="87">
        <f>O34+O24+O19</f>
        <v>176.64166666666665</v>
      </c>
      <c r="P39" s="87"/>
      <c r="Q39" s="87"/>
      <c r="R39" s="87">
        <f>R34+R24+R19</f>
        <v>100</v>
      </c>
      <c r="S39" s="87">
        <f>S34+S24+S19</f>
        <v>100.0168515625</v>
      </c>
      <c r="T39" s="87">
        <f>T34+T24+T19</f>
        <v>100.2446370967742</v>
      </c>
      <c r="U39" s="87">
        <f>U34+U24+U19</f>
        <v>102.17727272727274</v>
      </c>
      <c r="V39" s="87">
        <f>V34+V24+V19</f>
        <v>176.64166666666665</v>
      </c>
      <c r="W39" s="87"/>
      <c r="X39" s="87"/>
      <c r="Y39" s="87">
        <f>Y34+Y24+Y19</f>
        <v>100</v>
      </c>
      <c r="Z39" s="87">
        <f>Z34+Z24+Z19</f>
        <v>100.0168515625</v>
      </c>
      <c r="AA39" s="87">
        <f>AA34+AA24+AA19</f>
        <v>100.2446370967742</v>
      </c>
      <c r="AB39" s="87">
        <f>AB34+AB24+AB19</f>
        <v>102.17727272727274</v>
      </c>
      <c r="AC39" s="87">
        <f>AC34+AC24+AC19</f>
        <v>176.64166666666665</v>
      </c>
      <c r="AD39" s="87"/>
      <c r="AE39" s="87"/>
    </row>
    <row r="40" spans="2:31" ht="12.75">
      <c r="B40" t="s">
        <v>38</v>
      </c>
      <c r="D40" s="87">
        <f>D35+D30+D25+D20</f>
        <v>200</v>
      </c>
      <c r="E40" s="87">
        <f aca="true" t="shared" si="3" ref="E40:H41">E35+E30+E25+E20</f>
        <v>12801.348125</v>
      </c>
      <c r="F40" s="87">
        <f t="shared" si="3"/>
        <v>62094.796875</v>
      </c>
      <c r="G40" s="87">
        <f t="shared" si="3"/>
        <v>222993.75</v>
      </c>
      <c r="H40" s="87">
        <f t="shared" si="3"/>
        <v>532443.75</v>
      </c>
      <c r="I40" s="87"/>
      <c r="J40" s="87"/>
      <c r="K40" s="87">
        <f aca="true" t="shared" si="4" ref="K40:O41">K35+K30+K25+K20</f>
        <v>160</v>
      </c>
      <c r="L40" s="87">
        <f t="shared" si="4"/>
        <v>9601.348125</v>
      </c>
      <c r="M40" s="87">
        <f t="shared" si="4"/>
        <v>46594.796875</v>
      </c>
      <c r="N40" s="87">
        <f t="shared" si="4"/>
        <v>167993.75</v>
      </c>
      <c r="O40" s="87">
        <f t="shared" si="4"/>
        <v>442443.75</v>
      </c>
      <c r="P40" s="87"/>
      <c r="Q40" s="87"/>
      <c r="R40" s="87">
        <f aca="true" t="shared" si="5" ref="R40:V41">R35+R30+R25+R20</f>
        <v>65</v>
      </c>
      <c r="S40" s="87">
        <f t="shared" si="5"/>
        <v>2000.0168515625</v>
      </c>
      <c r="T40" s="87">
        <f t="shared" si="5"/>
        <v>9687.744637096774</v>
      </c>
      <c r="U40" s="87">
        <f t="shared" si="5"/>
        <v>34377.17727272728</v>
      </c>
      <c r="V40" s="87">
        <f t="shared" si="5"/>
        <v>56326.64166666666</v>
      </c>
      <c r="W40" s="87"/>
      <c r="X40" s="87"/>
      <c r="Y40" s="87">
        <f aca="true" t="shared" si="6" ref="Y40:AC41">Y35+Y30+Y25+Y20</f>
        <v>110</v>
      </c>
      <c r="Z40" s="87">
        <f t="shared" si="6"/>
        <v>2001.348125</v>
      </c>
      <c r="AA40" s="87">
        <f t="shared" si="6"/>
        <v>9782.296875</v>
      </c>
      <c r="AB40" s="87">
        <f t="shared" si="6"/>
        <v>37368.75</v>
      </c>
      <c r="AC40" s="87">
        <f t="shared" si="6"/>
        <v>228693.75</v>
      </c>
      <c r="AD40" s="87"/>
      <c r="AE40" s="87"/>
    </row>
    <row r="41" spans="2:31" ht="12.75">
      <c r="B41" t="s">
        <v>39</v>
      </c>
      <c r="D41" s="87">
        <f>D36+D31+D26+D21</f>
        <v>0</v>
      </c>
      <c r="E41" s="87">
        <f t="shared" si="3"/>
        <v>0</v>
      </c>
      <c r="F41" s="87">
        <f t="shared" si="3"/>
        <v>0</v>
      </c>
      <c r="G41" s="87">
        <f t="shared" si="3"/>
        <v>0</v>
      </c>
      <c r="H41" s="87">
        <f t="shared" si="3"/>
        <v>0</v>
      </c>
      <c r="I41" s="87">
        <f>I36+I31+I26+I21</f>
        <v>0</v>
      </c>
      <c r="J41" s="87"/>
      <c r="K41" s="87">
        <f t="shared" si="4"/>
        <v>100</v>
      </c>
      <c r="L41" s="87">
        <f t="shared" si="4"/>
        <v>4800</v>
      </c>
      <c r="M41" s="87">
        <f t="shared" si="4"/>
        <v>23250</v>
      </c>
      <c r="N41" s="87">
        <f t="shared" si="4"/>
        <v>82500</v>
      </c>
      <c r="O41" s="87">
        <f t="shared" si="4"/>
        <v>135000</v>
      </c>
      <c r="P41" s="87">
        <f>P36+P31+P26+P21</f>
        <v>135000</v>
      </c>
      <c r="Q41" s="87"/>
      <c r="R41" s="87">
        <f t="shared" si="5"/>
        <v>200</v>
      </c>
      <c r="S41" s="87">
        <f t="shared" si="5"/>
        <v>12801.348125</v>
      </c>
      <c r="T41" s="87">
        <f t="shared" si="5"/>
        <v>62094.796875</v>
      </c>
      <c r="U41" s="87">
        <f t="shared" si="5"/>
        <v>222993.75</v>
      </c>
      <c r="V41" s="87">
        <f t="shared" si="5"/>
        <v>532443.75</v>
      </c>
      <c r="W41" s="87">
        <f>W36+W31+W26+W21</f>
        <v>535533.645</v>
      </c>
      <c r="X41" s="87"/>
      <c r="Y41" s="87">
        <f t="shared" si="6"/>
        <v>200</v>
      </c>
      <c r="Z41" s="87">
        <f t="shared" si="6"/>
        <v>12800</v>
      </c>
      <c r="AA41" s="87">
        <f t="shared" si="6"/>
        <v>62000</v>
      </c>
      <c r="AB41" s="87">
        <f t="shared" si="6"/>
        <v>220000</v>
      </c>
      <c r="AC41" s="87">
        <f t="shared" si="6"/>
        <v>360000</v>
      </c>
      <c r="AD41" s="87">
        <f>AD36+AD31+AD26+AD21</f>
        <v>360000</v>
      </c>
      <c r="AE41" s="87"/>
    </row>
    <row r="42" spans="4:31" ht="12.75">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row>
    <row r="43" spans="4:31" ht="12.75">
      <c r="D43" s="87"/>
      <c r="E43" s="87"/>
      <c r="F43" s="87"/>
      <c r="G43" s="87"/>
      <c r="H43" s="87"/>
      <c r="I43" s="94"/>
      <c r="J43" s="87"/>
      <c r="K43" s="87"/>
      <c r="L43" s="87"/>
      <c r="M43" s="87"/>
      <c r="N43" s="87"/>
      <c r="O43" s="87"/>
      <c r="P43" s="94"/>
      <c r="Q43" s="87"/>
      <c r="R43" s="87"/>
      <c r="S43" s="87"/>
      <c r="T43" s="87"/>
      <c r="U43" s="87"/>
      <c r="V43" s="87"/>
      <c r="W43" s="94"/>
      <c r="X43" s="87"/>
      <c r="Y43" s="87"/>
      <c r="Z43" s="87"/>
      <c r="AA43" s="87"/>
      <c r="AB43" s="87"/>
      <c r="AC43" s="87"/>
      <c r="AD43" s="94"/>
      <c r="AE43" s="87"/>
    </row>
    <row r="44" spans="1:31" ht="12.75">
      <c r="A44" s="159" t="s">
        <v>90</v>
      </c>
      <c r="B44" s="159"/>
      <c r="D44" s="87"/>
      <c r="E44" s="87"/>
      <c r="F44" s="87"/>
      <c r="G44" s="87"/>
      <c r="H44" s="87"/>
      <c r="I44" s="94"/>
      <c r="J44" s="87"/>
      <c r="K44" s="87"/>
      <c r="L44" s="87"/>
      <c r="M44" s="87"/>
      <c r="N44" s="87"/>
      <c r="O44" s="87"/>
      <c r="P44" s="94"/>
      <c r="Q44" s="87"/>
      <c r="R44" s="87"/>
      <c r="S44" s="87"/>
      <c r="T44" s="87"/>
      <c r="U44" s="87"/>
      <c r="V44" s="87"/>
      <c r="W44" s="94"/>
      <c r="X44" s="87"/>
      <c r="Y44" s="87"/>
      <c r="Z44" s="87"/>
      <c r="AA44" s="87"/>
      <c r="AB44" s="87"/>
      <c r="AC44" s="87"/>
      <c r="AD44" s="94"/>
      <c r="AE44" s="87"/>
    </row>
    <row r="45" spans="1:31" ht="12.75">
      <c r="A45" t="s">
        <v>88</v>
      </c>
      <c r="D45" s="87"/>
      <c r="E45" s="87"/>
      <c r="F45" s="87"/>
      <c r="G45" s="87"/>
      <c r="H45" s="87"/>
      <c r="I45" s="94"/>
      <c r="J45" s="87"/>
      <c r="K45" s="87"/>
      <c r="L45" s="87"/>
      <c r="M45" s="87"/>
      <c r="N45" s="87"/>
      <c r="O45" s="87"/>
      <c r="P45" s="94"/>
      <c r="Q45" s="87"/>
      <c r="R45" s="87"/>
      <c r="S45" s="87"/>
      <c r="T45" s="87"/>
      <c r="U45" s="87"/>
      <c r="V45" s="87"/>
      <c r="W45" s="94"/>
      <c r="X45" s="87"/>
      <c r="Y45" s="87"/>
      <c r="Z45" s="87"/>
      <c r="AA45" s="87"/>
      <c r="AB45" s="87"/>
      <c r="AC45" s="87"/>
      <c r="AD45" s="94"/>
      <c r="AE45" s="87"/>
    </row>
    <row r="46" spans="1:31" s="90" customFormat="1" ht="12.75">
      <c r="A46" t="s">
        <v>101</v>
      </c>
      <c r="B46" s="90" t="s">
        <v>102</v>
      </c>
      <c r="D46" s="93">
        <v>0.05</v>
      </c>
      <c r="E46" s="93">
        <f>'Model Comparisons'!D60</f>
        <v>0.05</v>
      </c>
      <c r="F46" s="93">
        <f>'Model Comparisons'!E60</f>
        <v>0.05</v>
      </c>
      <c r="G46" s="93">
        <f>'Model Comparisons'!F60</f>
        <v>0.1</v>
      </c>
      <c r="H46" s="93">
        <f>'Model Comparisons'!G60</f>
        <v>0.1</v>
      </c>
      <c r="I46" s="95"/>
      <c r="J46" s="92"/>
      <c r="K46" s="92">
        <f>D46</f>
        <v>0.05</v>
      </c>
      <c r="L46" s="92">
        <f>E46</f>
        <v>0.05</v>
      </c>
      <c r="M46" s="92">
        <f>F46</f>
        <v>0.05</v>
      </c>
      <c r="N46" s="92">
        <f>G46</f>
        <v>0.1</v>
      </c>
      <c r="O46" s="92">
        <f>H46</f>
        <v>0.1</v>
      </c>
      <c r="P46" s="95"/>
      <c r="Q46" s="92"/>
      <c r="R46" s="92">
        <f>K46</f>
        <v>0.05</v>
      </c>
      <c r="S46" s="92">
        <f>L46</f>
        <v>0.05</v>
      </c>
      <c r="T46" s="92">
        <f>M46</f>
        <v>0.05</v>
      </c>
      <c r="U46" s="92">
        <f>N46</f>
        <v>0.1</v>
      </c>
      <c r="V46" s="92">
        <f>O46</f>
        <v>0.1</v>
      </c>
      <c r="W46" s="95"/>
      <c r="X46" s="92"/>
      <c r="Y46" s="92">
        <f>R46</f>
        <v>0.05</v>
      </c>
      <c r="Z46" s="92">
        <f>S46</f>
        <v>0.05</v>
      </c>
      <c r="AA46" s="92">
        <f>T46</f>
        <v>0.05</v>
      </c>
      <c r="AB46" s="92">
        <f>U46</f>
        <v>0.1</v>
      </c>
      <c r="AC46" s="92">
        <f>V46</f>
        <v>0.1</v>
      </c>
      <c r="AD46" s="95"/>
      <c r="AE46" s="92"/>
    </row>
    <row r="47" spans="1:31" ht="12.75">
      <c r="A47" s="83">
        <f>'Subscription costs'!M20*40*52</f>
        <v>104000</v>
      </c>
      <c r="B47" t="s">
        <v>38</v>
      </c>
      <c r="D47" s="87">
        <f>D46*$A47</f>
        <v>5200</v>
      </c>
      <c r="E47" s="87">
        <f>E46*$A47</f>
        <v>5200</v>
      </c>
      <c r="F47" s="87">
        <f>F46*$A47</f>
        <v>5200</v>
      </c>
      <c r="G47" s="87">
        <f>G46*$A47</f>
        <v>10400</v>
      </c>
      <c r="H47" s="87">
        <f>H46*$A47</f>
        <v>10400</v>
      </c>
      <c r="I47" s="94"/>
      <c r="J47" s="87"/>
      <c r="K47" s="87">
        <f>K46*$A47</f>
        <v>5200</v>
      </c>
      <c r="L47" s="87">
        <f>L46*$A47</f>
        <v>5200</v>
      </c>
      <c r="M47" s="87">
        <f>M46*$A47</f>
        <v>5200</v>
      </c>
      <c r="N47" s="87">
        <f>N46*$A47</f>
        <v>10400</v>
      </c>
      <c r="O47" s="87">
        <f>O46*$A47</f>
        <v>10400</v>
      </c>
      <c r="P47" s="94"/>
      <c r="Q47" s="87"/>
      <c r="R47" s="87">
        <f>R46*$A47</f>
        <v>5200</v>
      </c>
      <c r="S47" s="87">
        <f>S46*$A47</f>
        <v>5200</v>
      </c>
      <c r="T47" s="87">
        <f>T46*$A47</f>
        <v>5200</v>
      </c>
      <c r="U47" s="87">
        <f>U46*$A47</f>
        <v>10400</v>
      </c>
      <c r="V47" s="87">
        <f>V46*$A47</f>
        <v>10400</v>
      </c>
      <c r="W47" s="94"/>
      <c r="X47" s="87"/>
      <c r="Y47" s="87">
        <f>Y46*$A47</f>
        <v>5200</v>
      </c>
      <c r="Z47" s="87">
        <f>Z46*$A47</f>
        <v>5200</v>
      </c>
      <c r="AA47" s="87">
        <f>AA46*$A47</f>
        <v>5200</v>
      </c>
      <c r="AB47" s="87">
        <f>AB46*$A47</f>
        <v>10400</v>
      </c>
      <c r="AC47" s="87">
        <f>AC46*$A47</f>
        <v>10400</v>
      </c>
      <c r="AD47" s="94"/>
      <c r="AE47" s="87"/>
    </row>
    <row r="48" spans="2:31" ht="12.75">
      <c r="B48" t="s">
        <v>39</v>
      </c>
      <c r="D48" s="87">
        <v>0</v>
      </c>
      <c r="E48" s="87">
        <v>0</v>
      </c>
      <c r="F48" s="87">
        <v>0</v>
      </c>
      <c r="G48" s="87">
        <v>0</v>
      </c>
      <c r="H48" s="87">
        <v>0</v>
      </c>
      <c r="I48" s="87">
        <f>MAX(D48:H48)</f>
        <v>0</v>
      </c>
      <c r="J48" s="87"/>
      <c r="K48" s="87">
        <f>K46*$A47*$N$10</f>
        <v>7800</v>
      </c>
      <c r="L48" s="87">
        <f>L46*$A47*$N$10</f>
        <v>7800</v>
      </c>
      <c r="M48" s="87">
        <f>M46*$A47*$N$10</f>
        <v>7800</v>
      </c>
      <c r="N48" s="87">
        <f>N46*$A47*$N$10</f>
        <v>15600</v>
      </c>
      <c r="O48" s="87">
        <f>O46*$A47*$N$10</f>
        <v>15600</v>
      </c>
      <c r="P48" s="87">
        <f>MAX(K48:O48)</f>
        <v>15600</v>
      </c>
      <c r="Q48" s="87"/>
      <c r="R48" s="87">
        <f>R46*$A47*$U$10</f>
        <v>10400</v>
      </c>
      <c r="S48" s="87">
        <f>S46*$A47*$U$10</f>
        <v>10400</v>
      </c>
      <c r="T48" s="87">
        <f>T46*$A47*$U$10</f>
        <v>10400</v>
      </c>
      <c r="U48" s="87">
        <f>U46*$A47*$U$10</f>
        <v>20800</v>
      </c>
      <c r="V48" s="87">
        <f>V46*$A47*$U$10</f>
        <v>20800</v>
      </c>
      <c r="W48" s="87">
        <f>MAX(R48:V48)</f>
        <v>20800</v>
      </c>
      <c r="X48" s="87"/>
      <c r="Y48" s="87">
        <f>Y46*$A47*$AB$10</f>
        <v>10400</v>
      </c>
      <c r="Z48" s="87">
        <f>Z46*$A47*$AB$10</f>
        <v>10400</v>
      </c>
      <c r="AA48" s="87">
        <f>AA46*$A47*$AB$10</f>
        <v>10400</v>
      </c>
      <c r="AB48" s="87">
        <f>AB46*$A47*$AB$10</f>
        <v>20800</v>
      </c>
      <c r="AC48" s="87">
        <f>AC46*$A47*$AB$10</f>
        <v>20800</v>
      </c>
      <c r="AD48" s="87">
        <f>MAX(Y48:AC48)</f>
        <v>20800</v>
      </c>
      <c r="AE48" s="87"/>
    </row>
    <row r="49" spans="4:31" ht="12.75">
      <c r="D49" s="87"/>
      <c r="E49" s="87"/>
      <c r="F49" s="87"/>
      <c r="G49" s="87"/>
      <c r="H49" s="87"/>
      <c r="I49" s="94"/>
      <c r="J49" s="87"/>
      <c r="K49" s="87"/>
      <c r="L49" s="87"/>
      <c r="M49" s="87"/>
      <c r="N49" s="87"/>
      <c r="O49" s="87"/>
      <c r="P49" s="94"/>
      <c r="Q49" s="87"/>
      <c r="R49" s="87"/>
      <c r="S49" s="87"/>
      <c r="T49" s="87"/>
      <c r="U49" s="87"/>
      <c r="V49" s="87"/>
      <c r="W49" s="94"/>
      <c r="X49" s="87"/>
      <c r="Y49" s="87"/>
      <c r="Z49" s="87"/>
      <c r="AA49" s="87"/>
      <c r="AB49" s="87"/>
      <c r="AC49" s="87"/>
      <c r="AD49" s="94"/>
      <c r="AE49" s="87"/>
    </row>
    <row r="50" spans="1:31" ht="12.75">
      <c r="A50" t="s">
        <v>91</v>
      </c>
      <c r="D50" s="87"/>
      <c r="E50" s="87"/>
      <c r="F50" s="87"/>
      <c r="G50" s="87"/>
      <c r="H50" s="87"/>
      <c r="I50" s="94"/>
      <c r="J50" s="87"/>
      <c r="K50" s="87"/>
      <c r="L50" s="87"/>
      <c r="M50" s="87"/>
      <c r="N50" s="87"/>
      <c r="O50" s="87"/>
      <c r="P50" s="94"/>
      <c r="Q50" s="87"/>
      <c r="R50" s="87"/>
      <c r="S50" s="87"/>
      <c r="T50" s="87"/>
      <c r="U50" s="87"/>
      <c r="V50" s="87"/>
      <c r="W50" s="94"/>
      <c r="X50" s="87"/>
      <c r="Y50" s="87"/>
      <c r="Z50" s="87"/>
      <c r="AA50" s="87"/>
      <c r="AB50" s="87"/>
      <c r="AC50" s="87"/>
      <c r="AD50" s="94"/>
      <c r="AE50" s="87"/>
    </row>
    <row r="51" spans="1:31" s="90" customFormat="1" ht="12.75">
      <c r="A51" t="s">
        <v>101</v>
      </c>
      <c r="B51" s="90" t="s">
        <v>102</v>
      </c>
      <c r="D51" s="93">
        <v>0.05</v>
      </c>
      <c r="E51" s="93">
        <f>'Model Comparisons'!D61</f>
        <v>0.05</v>
      </c>
      <c r="F51" s="93">
        <f>'Model Comparisons'!E61</f>
        <v>0.05</v>
      </c>
      <c r="G51" s="93">
        <f>'Model Comparisons'!F61</f>
        <v>0.1</v>
      </c>
      <c r="H51" s="93">
        <f>'Model Comparisons'!G61</f>
        <v>0.1</v>
      </c>
      <c r="I51" s="95"/>
      <c r="J51" s="92"/>
      <c r="K51" s="92">
        <f>D51</f>
        <v>0.05</v>
      </c>
      <c r="L51" s="92">
        <f>E51</f>
        <v>0.05</v>
      </c>
      <c r="M51" s="92">
        <f>F51</f>
        <v>0.05</v>
      </c>
      <c r="N51" s="92">
        <f>G51</f>
        <v>0.1</v>
      </c>
      <c r="O51" s="92">
        <f>H51</f>
        <v>0.1</v>
      </c>
      <c r="P51" s="95"/>
      <c r="Q51" s="92"/>
      <c r="R51" s="92">
        <f>K51</f>
        <v>0.05</v>
      </c>
      <c r="S51" s="92">
        <f>L51</f>
        <v>0.05</v>
      </c>
      <c r="T51" s="92">
        <f>M51</f>
        <v>0.05</v>
      </c>
      <c r="U51" s="92">
        <f>N51</f>
        <v>0.1</v>
      </c>
      <c r="V51" s="92">
        <f>O51</f>
        <v>0.1</v>
      </c>
      <c r="W51" s="95"/>
      <c r="X51" s="92"/>
      <c r="Y51" s="92">
        <f>R51</f>
        <v>0.05</v>
      </c>
      <c r="Z51" s="92">
        <f>S51</f>
        <v>0.05</v>
      </c>
      <c r="AA51" s="92">
        <f>T51</f>
        <v>0.05</v>
      </c>
      <c r="AB51" s="92">
        <f>U51</f>
        <v>0.1</v>
      </c>
      <c r="AC51" s="92">
        <f>V51</f>
        <v>0.1</v>
      </c>
      <c r="AD51" s="95"/>
      <c r="AE51" s="92"/>
    </row>
    <row r="52" spans="1:31" ht="12.75">
      <c r="A52" s="83">
        <f>'Subscription costs'!M22*40*52</f>
        <v>104000</v>
      </c>
      <c r="B52" t="s">
        <v>38</v>
      </c>
      <c r="D52" s="87">
        <f>D51*$A52</f>
        <v>5200</v>
      </c>
      <c r="E52" s="87">
        <f>E51*$A52</f>
        <v>5200</v>
      </c>
      <c r="F52" s="87">
        <f>F51*$A52</f>
        <v>5200</v>
      </c>
      <c r="G52" s="87">
        <f>G51*$A52</f>
        <v>10400</v>
      </c>
      <c r="H52" s="87">
        <f>H51*$A52</f>
        <v>10400</v>
      </c>
      <c r="I52" s="94"/>
      <c r="J52" s="87"/>
      <c r="K52" s="87">
        <f>K51*$A52</f>
        <v>5200</v>
      </c>
      <c r="L52" s="87">
        <f>L51*$A52</f>
        <v>5200</v>
      </c>
      <c r="M52" s="87">
        <f>M51*$A52</f>
        <v>5200</v>
      </c>
      <c r="N52" s="87">
        <f>N51*$A52</f>
        <v>10400</v>
      </c>
      <c r="O52" s="87">
        <f>O51*$A52</f>
        <v>10400</v>
      </c>
      <c r="P52" s="94"/>
      <c r="Q52" s="87"/>
      <c r="R52" s="87">
        <f>R51*$A52</f>
        <v>5200</v>
      </c>
      <c r="S52" s="87">
        <f>S51*$A52</f>
        <v>5200</v>
      </c>
      <c r="T52" s="87">
        <f>T51*$A52</f>
        <v>5200</v>
      </c>
      <c r="U52" s="87">
        <f>U51*$A52</f>
        <v>10400</v>
      </c>
      <c r="V52" s="87">
        <f>V51*$A52</f>
        <v>10400</v>
      </c>
      <c r="W52" s="94"/>
      <c r="X52" s="87"/>
      <c r="Y52" s="87">
        <f>Y51*$A52</f>
        <v>5200</v>
      </c>
      <c r="Z52" s="87">
        <f>Z51*$A52</f>
        <v>5200</v>
      </c>
      <c r="AA52" s="87">
        <f>AA51*$A52</f>
        <v>5200</v>
      </c>
      <c r="AB52" s="87">
        <f>AB51*$A52</f>
        <v>10400</v>
      </c>
      <c r="AC52" s="87">
        <f>AC51*$A52</f>
        <v>10400</v>
      </c>
      <c r="AD52" s="94"/>
      <c r="AE52" s="87"/>
    </row>
    <row r="53" spans="2:31" ht="12.75">
      <c r="B53" t="s">
        <v>39</v>
      </c>
      <c r="D53" s="87">
        <v>0</v>
      </c>
      <c r="E53" s="87">
        <v>0</v>
      </c>
      <c r="F53" s="87">
        <v>0</v>
      </c>
      <c r="G53" s="87">
        <v>0</v>
      </c>
      <c r="H53" s="87">
        <v>0</v>
      </c>
      <c r="I53" s="87">
        <f>MAX(D53:H53)</f>
        <v>0</v>
      </c>
      <c r="J53" s="87"/>
      <c r="K53" s="87">
        <f>K51*$A52*$N$10</f>
        <v>7800</v>
      </c>
      <c r="L53" s="87">
        <f>L51*$A52*$N$10</f>
        <v>7800</v>
      </c>
      <c r="M53" s="87">
        <f>M51*$A52*$N$10</f>
        <v>7800</v>
      </c>
      <c r="N53" s="87">
        <f>N51*$A52*$N$10</f>
        <v>15600</v>
      </c>
      <c r="O53" s="87">
        <f>O51*$A52*$N$10</f>
        <v>15600</v>
      </c>
      <c r="P53" s="87">
        <f>MAX(K53:O53)</f>
        <v>15600</v>
      </c>
      <c r="Q53" s="87"/>
      <c r="R53" s="87">
        <f>R51*$A52*$U$10</f>
        <v>10400</v>
      </c>
      <c r="S53" s="87">
        <f>S51*$A52*$U$10</f>
        <v>10400</v>
      </c>
      <c r="T53" s="87">
        <f>T51*$A52*$U$10</f>
        <v>10400</v>
      </c>
      <c r="U53" s="87">
        <f>U51*$A52*$U$10</f>
        <v>20800</v>
      </c>
      <c r="V53" s="87">
        <f>V51*$A52*$U$10</f>
        <v>20800</v>
      </c>
      <c r="W53" s="87">
        <f>MAX(R53:V53)</f>
        <v>20800</v>
      </c>
      <c r="X53" s="87"/>
      <c r="Y53" s="87">
        <f>Y51*$A52*$AB$10</f>
        <v>10400</v>
      </c>
      <c r="Z53" s="87">
        <f>Z51*$A52*$AB$10</f>
        <v>10400</v>
      </c>
      <c r="AA53" s="87">
        <f>AA51*$A52*$AB$10</f>
        <v>10400</v>
      </c>
      <c r="AB53" s="87">
        <f>AB51*$A52*$AB$10</f>
        <v>20800</v>
      </c>
      <c r="AC53" s="87">
        <f>AC51*$A52*$AB$10</f>
        <v>20800</v>
      </c>
      <c r="AD53" s="87">
        <f>MAX(Y53:AC53)</f>
        <v>20800</v>
      </c>
      <c r="AE53" s="87"/>
    </row>
    <row r="54" spans="4:31" ht="12.75">
      <c r="D54" s="87"/>
      <c r="E54" s="87"/>
      <c r="F54" s="87"/>
      <c r="G54" s="87"/>
      <c r="H54" s="87"/>
      <c r="I54" s="94"/>
      <c r="J54" s="87"/>
      <c r="K54" s="87"/>
      <c r="L54" s="87"/>
      <c r="M54" s="87"/>
      <c r="N54" s="87"/>
      <c r="O54" s="87"/>
      <c r="P54" s="94"/>
      <c r="Q54" s="87"/>
      <c r="R54" s="87"/>
      <c r="S54" s="87"/>
      <c r="T54" s="87"/>
      <c r="U54" s="87"/>
      <c r="V54" s="87"/>
      <c r="W54" s="94"/>
      <c r="X54" s="87"/>
      <c r="Y54" s="87"/>
      <c r="Z54" s="87"/>
      <c r="AA54" s="87"/>
      <c r="AB54" s="87"/>
      <c r="AC54" s="87"/>
      <c r="AD54" s="94"/>
      <c r="AE54" s="87"/>
    </row>
    <row r="55" spans="1:31" ht="12.75">
      <c r="A55" t="s">
        <v>93</v>
      </c>
      <c r="D55" s="87"/>
      <c r="E55" s="87"/>
      <c r="F55" s="87"/>
      <c r="G55" s="87"/>
      <c r="H55" s="87"/>
      <c r="I55" s="94"/>
      <c r="J55" s="87"/>
      <c r="K55" s="87"/>
      <c r="L55" s="87"/>
      <c r="M55" s="87"/>
      <c r="N55" s="87"/>
      <c r="O55" s="87"/>
      <c r="P55" s="94"/>
      <c r="Q55" s="87"/>
      <c r="R55" s="87"/>
      <c r="S55" s="87"/>
      <c r="T55" s="87"/>
      <c r="U55" s="87"/>
      <c r="V55" s="87"/>
      <c r="W55" s="94"/>
      <c r="X55" s="87"/>
      <c r="Y55" s="87"/>
      <c r="Z55" s="87"/>
      <c r="AA55" s="87"/>
      <c r="AB55" s="87"/>
      <c r="AC55" s="87"/>
      <c r="AD55" s="94"/>
      <c r="AE55" s="87"/>
    </row>
    <row r="56" spans="2:31" ht="12.75">
      <c r="B56" t="s">
        <v>38</v>
      </c>
      <c r="D56" s="87">
        <f aca="true" t="shared" si="7" ref="D56:H57">D52+D47</f>
        <v>10400</v>
      </c>
      <c r="E56" s="87">
        <f t="shared" si="7"/>
        <v>10400</v>
      </c>
      <c r="F56" s="87">
        <f t="shared" si="7"/>
        <v>10400</v>
      </c>
      <c r="G56" s="87">
        <f t="shared" si="7"/>
        <v>20800</v>
      </c>
      <c r="H56" s="87">
        <f t="shared" si="7"/>
        <v>20800</v>
      </c>
      <c r="I56" s="94"/>
      <c r="J56" s="87"/>
      <c r="K56" s="87">
        <f>K52+K47</f>
        <v>10400</v>
      </c>
      <c r="L56" s="87">
        <f>L52+L47</f>
        <v>10400</v>
      </c>
      <c r="M56" s="87">
        <f>M52+M47</f>
        <v>10400</v>
      </c>
      <c r="N56" s="87">
        <f>N52+N47</f>
        <v>20800</v>
      </c>
      <c r="O56" s="87">
        <f>O52+O47</f>
        <v>20800</v>
      </c>
      <c r="P56" s="94"/>
      <c r="Q56" s="87"/>
      <c r="R56" s="87">
        <f>R52+R47</f>
        <v>10400</v>
      </c>
      <c r="S56" s="87">
        <f>S52+S47</f>
        <v>10400</v>
      </c>
      <c r="T56" s="87">
        <f>T52+T47</f>
        <v>10400</v>
      </c>
      <c r="U56" s="87">
        <f>U52+U47</f>
        <v>20800</v>
      </c>
      <c r="V56" s="87">
        <f>V52+V47</f>
        <v>20800</v>
      </c>
      <c r="W56" s="94"/>
      <c r="X56" s="87"/>
      <c r="Y56" s="87">
        <f>Y52+Y47</f>
        <v>10400</v>
      </c>
      <c r="Z56" s="87">
        <f>Z52+Z47</f>
        <v>10400</v>
      </c>
      <c r="AA56" s="87">
        <f>AA52+AA47</f>
        <v>10400</v>
      </c>
      <c r="AB56" s="87">
        <f>AB52+AB47</f>
        <v>20800</v>
      </c>
      <c r="AC56" s="87">
        <f>AC52+AC47</f>
        <v>20800</v>
      </c>
      <c r="AD56" s="94"/>
      <c r="AE56" s="87"/>
    </row>
    <row r="57" spans="2:31" ht="12.75">
      <c r="B57" t="s">
        <v>39</v>
      </c>
      <c r="D57" s="87">
        <f t="shared" si="7"/>
        <v>0</v>
      </c>
      <c r="E57" s="87">
        <f t="shared" si="7"/>
        <v>0</v>
      </c>
      <c r="F57" s="87">
        <f t="shared" si="7"/>
        <v>0</v>
      </c>
      <c r="G57" s="87">
        <f t="shared" si="7"/>
        <v>0</v>
      </c>
      <c r="H57" s="87">
        <f t="shared" si="7"/>
        <v>0</v>
      </c>
      <c r="I57" s="87">
        <f>I53+I48</f>
        <v>0</v>
      </c>
      <c r="J57" s="87"/>
      <c r="K57" s="87">
        <f aca="true" t="shared" si="8" ref="K57:P57">K53+K48</f>
        <v>15600</v>
      </c>
      <c r="L57" s="87">
        <f t="shared" si="8"/>
        <v>15600</v>
      </c>
      <c r="M57" s="87">
        <f t="shared" si="8"/>
        <v>15600</v>
      </c>
      <c r="N57" s="87">
        <f t="shared" si="8"/>
        <v>31200</v>
      </c>
      <c r="O57" s="87">
        <f t="shared" si="8"/>
        <v>31200</v>
      </c>
      <c r="P57" s="87">
        <f t="shared" si="8"/>
        <v>31200</v>
      </c>
      <c r="Q57" s="87"/>
      <c r="R57" s="87">
        <f aca="true" t="shared" si="9" ref="R57:W57">R53+R48</f>
        <v>20800</v>
      </c>
      <c r="S57" s="87">
        <f t="shared" si="9"/>
        <v>20800</v>
      </c>
      <c r="T57" s="87">
        <f t="shared" si="9"/>
        <v>20800</v>
      </c>
      <c r="U57" s="87">
        <f t="shared" si="9"/>
        <v>41600</v>
      </c>
      <c r="V57" s="87">
        <f t="shared" si="9"/>
        <v>41600</v>
      </c>
      <c r="W57" s="87">
        <f t="shared" si="9"/>
        <v>41600</v>
      </c>
      <c r="X57" s="87"/>
      <c r="Y57" s="87">
        <f aca="true" t="shared" si="10" ref="Y57:AD57">Y53+Y48</f>
        <v>20800</v>
      </c>
      <c r="Z57" s="87">
        <f t="shared" si="10"/>
        <v>20800</v>
      </c>
      <c r="AA57" s="87">
        <f t="shared" si="10"/>
        <v>20800</v>
      </c>
      <c r="AB57" s="87">
        <f t="shared" si="10"/>
        <v>41600</v>
      </c>
      <c r="AC57" s="87">
        <f t="shared" si="10"/>
        <v>41600</v>
      </c>
      <c r="AD57" s="87">
        <f t="shared" si="10"/>
        <v>41600</v>
      </c>
      <c r="AE57" s="87"/>
    </row>
    <row r="58" spans="4:31" ht="12.75">
      <c r="D58" s="87"/>
      <c r="E58" s="87"/>
      <c r="F58" s="87"/>
      <c r="G58" s="87"/>
      <c r="H58" s="87"/>
      <c r="I58" s="87"/>
      <c r="J58" s="87"/>
      <c r="K58" s="87"/>
      <c r="L58" s="87"/>
      <c r="M58" s="87"/>
      <c r="N58" s="87"/>
      <c r="O58" s="87"/>
      <c r="P58" s="87"/>
      <c r="Q58" s="87"/>
      <c r="R58" s="87"/>
      <c r="S58" s="87"/>
      <c r="T58" s="87"/>
      <c r="U58" s="87"/>
      <c r="V58" s="87"/>
      <c r="W58" s="87"/>
      <c r="X58" s="87"/>
      <c r="Y58" s="87"/>
      <c r="Z58" s="87"/>
      <c r="AA58" s="87"/>
      <c r="AB58" s="87"/>
      <c r="AC58" s="87"/>
      <c r="AD58" s="87"/>
      <c r="AE58" s="87"/>
    </row>
    <row r="59" spans="1:31" ht="12.75">
      <c r="A59" t="s">
        <v>94</v>
      </c>
      <c r="D59" s="87"/>
      <c r="E59" s="87"/>
      <c r="F59" s="87"/>
      <c r="G59" s="87"/>
      <c r="H59" s="87"/>
      <c r="I59" s="87"/>
      <c r="J59" s="87"/>
      <c r="K59" s="87"/>
      <c r="L59" s="87"/>
      <c r="M59" s="87"/>
      <c r="N59" s="87"/>
      <c r="O59" s="87"/>
      <c r="P59" s="87"/>
      <c r="Q59" s="87"/>
      <c r="R59" s="87"/>
      <c r="S59" s="87"/>
      <c r="T59" s="87"/>
      <c r="U59" s="87"/>
      <c r="V59" s="87"/>
      <c r="W59" s="87"/>
      <c r="X59" s="87"/>
      <c r="Y59" s="87"/>
      <c r="Z59" s="87"/>
      <c r="AA59" s="87"/>
      <c r="AB59" s="87"/>
      <c r="AC59" s="87"/>
      <c r="AD59" s="87"/>
      <c r="AE59" s="87"/>
    </row>
    <row r="60" spans="2:31" ht="12.75">
      <c r="B60" t="s">
        <v>150</v>
      </c>
      <c r="D60" s="87">
        <f aca="true" t="shared" si="11" ref="D60:H61">D56+D40</f>
        <v>10600</v>
      </c>
      <c r="E60" s="87">
        <f t="shared" si="11"/>
        <v>23201.348125</v>
      </c>
      <c r="F60" s="87">
        <f t="shared" si="11"/>
        <v>72494.796875</v>
      </c>
      <c r="G60" s="87">
        <f t="shared" si="11"/>
        <v>243793.75</v>
      </c>
      <c r="H60" s="87">
        <f t="shared" si="11"/>
        <v>553243.75</v>
      </c>
      <c r="I60" s="87"/>
      <c r="J60" s="87"/>
      <c r="K60" s="87">
        <f>K56+K40</f>
        <v>10560</v>
      </c>
      <c r="L60" s="87">
        <f>L56+L40</f>
        <v>20001.348125</v>
      </c>
      <c r="M60" s="87">
        <f>M56+M40</f>
        <v>56994.796875</v>
      </c>
      <c r="N60" s="87">
        <f>N56+N40</f>
        <v>188793.75</v>
      </c>
      <c r="O60" s="87">
        <f>O56+O40</f>
        <v>463243.75</v>
      </c>
      <c r="P60" s="87"/>
      <c r="Q60" s="87"/>
      <c r="R60" s="87">
        <f>R56+R40</f>
        <v>10465</v>
      </c>
      <c r="S60" s="87">
        <f>S56+S40</f>
        <v>12400.016851562501</v>
      </c>
      <c r="T60" s="87">
        <f>T56+T40</f>
        <v>20087.744637096774</v>
      </c>
      <c r="U60" s="87">
        <f>U56+U40</f>
        <v>55177.17727272728</v>
      </c>
      <c r="V60" s="87">
        <f>V56+V40</f>
        <v>77126.64166666666</v>
      </c>
      <c r="W60" s="87"/>
      <c r="X60" s="87"/>
      <c r="Y60" s="87">
        <f>Y56+Y40</f>
        <v>10510</v>
      </c>
      <c r="Z60" s="87">
        <f>Z56+Z40</f>
        <v>12401.348125</v>
      </c>
      <c r="AA60" s="87">
        <f>AA56+AA40</f>
        <v>20182.296875</v>
      </c>
      <c r="AB60" s="87">
        <f>AB56+AB40</f>
        <v>58168.75</v>
      </c>
      <c r="AC60" s="87">
        <f>AC56+AC40</f>
        <v>249493.75</v>
      </c>
      <c r="AD60" s="87"/>
      <c r="AE60" s="87"/>
    </row>
    <row r="61" spans="2:31" ht="12.75">
      <c r="B61" t="s">
        <v>39</v>
      </c>
      <c r="D61" s="87">
        <f t="shared" si="11"/>
        <v>0</v>
      </c>
      <c r="E61" s="87">
        <f t="shared" si="11"/>
        <v>0</v>
      </c>
      <c r="F61" s="87">
        <f t="shared" si="11"/>
        <v>0</v>
      </c>
      <c r="G61" s="87">
        <f t="shared" si="11"/>
        <v>0</v>
      </c>
      <c r="H61" s="87">
        <f t="shared" si="11"/>
        <v>0</v>
      </c>
      <c r="I61" s="87">
        <f>I57+I41</f>
        <v>0</v>
      </c>
      <c r="J61" s="87"/>
      <c r="K61" s="87">
        <f aca="true" t="shared" si="12" ref="K61:P61">K57+K41</f>
        <v>15700</v>
      </c>
      <c r="L61" s="87">
        <f t="shared" si="12"/>
        <v>20400</v>
      </c>
      <c r="M61" s="87">
        <f t="shared" si="12"/>
        <v>38850</v>
      </c>
      <c r="N61" s="87">
        <f t="shared" si="12"/>
        <v>113700</v>
      </c>
      <c r="O61" s="87">
        <f t="shared" si="12"/>
        <v>166200</v>
      </c>
      <c r="P61" s="87">
        <f t="shared" si="12"/>
        <v>166200</v>
      </c>
      <c r="Q61" s="87"/>
      <c r="R61" s="87">
        <f aca="true" t="shared" si="13" ref="R61:W61">R57+R41</f>
        <v>21000</v>
      </c>
      <c r="S61" s="87">
        <f t="shared" si="13"/>
        <v>33601.348125000004</v>
      </c>
      <c r="T61" s="87">
        <f t="shared" si="13"/>
        <v>82894.796875</v>
      </c>
      <c r="U61" s="87">
        <f t="shared" si="13"/>
        <v>264593.75</v>
      </c>
      <c r="V61" s="87">
        <f t="shared" si="13"/>
        <v>574043.75</v>
      </c>
      <c r="W61" s="87">
        <f t="shared" si="13"/>
        <v>577133.645</v>
      </c>
      <c r="X61" s="87"/>
      <c r="Y61" s="87">
        <f aca="true" t="shared" si="14" ref="Y61:AD61">Y57+Y41</f>
        <v>21000</v>
      </c>
      <c r="Z61" s="87">
        <f t="shared" si="14"/>
        <v>33600</v>
      </c>
      <c r="AA61" s="87">
        <f t="shared" si="14"/>
        <v>82800</v>
      </c>
      <c r="AB61" s="87">
        <f t="shared" si="14"/>
        <v>261600</v>
      </c>
      <c r="AC61" s="87">
        <f t="shared" si="14"/>
        <v>401600</v>
      </c>
      <c r="AD61" s="87">
        <f t="shared" si="14"/>
        <v>401600</v>
      </c>
      <c r="AE61" s="87"/>
    </row>
    <row r="62" spans="4:31" ht="12.75">
      <c r="D62" s="87"/>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row>
    <row r="63" spans="2:31" ht="12.75">
      <c r="B63" t="s">
        <v>58</v>
      </c>
      <c r="D63" s="87">
        <f>D60*D13</f>
        <v>0</v>
      </c>
      <c r="E63" s="87">
        <f>E60*E13</f>
        <v>11600674.0625</v>
      </c>
      <c r="F63" s="87">
        <f>F60*F13</f>
        <v>7249479.6875</v>
      </c>
      <c r="G63" s="87">
        <f>G60*G13</f>
        <v>2437937.5</v>
      </c>
      <c r="H63" s="87">
        <f>H60*H13</f>
        <v>553243.75</v>
      </c>
      <c r="I63" s="87">
        <f>SUM(D63:H63)</f>
        <v>21841335</v>
      </c>
      <c r="J63" s="87"/>
      <c r="K63" s="87">
        <f>K60*K13</f>
        <v>0</v>
      </c>
      <c r="L63" s="87">
        <f>L60*L13</f>
        <v>10000674.0625</v>
      </c>
      <c r="M63" s="87">
        <f>M60*M13</f>
        <v>5699479.6875</v>
      </c>
      <c r="N63" s="87">
        <f>N60*N13</f>
        <v>1887937.5</v>
      </c>
      <c r="O63" s="87">
        <f>O60*O13</f>
        <v>463243.75</v>
      </c>
      <c r="P63" s="87">
        <f>SUM(K63:O63)</f>
        <v>18051335</v>
      </c>
      <c r="Q63" s="87"/>
      <c r="R63" s="87">
        <f>R60*R13</f>
        <v>0</v>
      </c>
      <c r="S63" s="87">
        <f>S60*S13</f>
        <v>6200008.425781251</v>
      </c>
      <c r="T63" s="87">
        <f>T60*T13</f>
        <v>2008774.4637096773</v>
      </c>
      <c r="U63" s="87">
        <f>U60*U13</f>
        <v>551771.7727272727</v>
      </c>
      <c r="V63" s="87">
        <f>V60*V13</f>
        <v>77126.64166666666</v>
      </c>
      <c r="W63" s="87">
        <f>SUM(R63:V63)</f>
        <v>8837681.30388487</v>
      </c>
      <c r="X63" s="87"/>
      <c r="Y63" s="87">
        <f>Y60*Y13</f>
        <v>0</v>
      </c>
      <c r="Z63" s="87">
        <f>Z60*Z13</f>
        <v>6200674.0625</v>
      </c>
      <c r="AA63" s="87">
        <f>AA60*AA13</f>
        <v>2018229.6875</v>
      </c>
      <c r="AB63" s="87">
        <f>AB60*AB13</f>
        <v>581687.5</v>
      </c>
      <c r="AC63" s="87">
        <f>AC60*AC13</f>
        <v>249493.75</v>
      </c>
      <c r="AD63" s="87">
        <f>SUM(Y63:AC63)</f>
        <v>9050085</v>
      </c>
      <c r="AE63" s="87"/>
    </row>
    <row r="64" spans="4:31" ht="12.75">
      <c r="D64" s="87"/>
      <c r="E64" s="87"/>
      <c r="F64" s="87"/>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row>
    <row r="65" spans="2:31" ht="12.75">
      <c r="B65" t="s">
        <v>59</v>
      </c>
      <c r="D65" s="87"/>
      <c r="E65" s="87"/>
      <c r="F65" s="87"/>
      <c r="G65" s="87"/>
      <c r="H65" s="87"/>
      <c r="I65" s="87">
        <f>I63+I61</f>
        <v>21841335</v>
      </c>
      <c r="J65" s="87"/>
      <c r="K65" s="87"/>
      <c r="L65" s="87"/>
      <c r="M65" s="87"/>
      <c r="N65" s="87"/>
      <c r="O65" s="87"/>
      <c r="P65" s="87">
        <f>P63+P61</f>
        <v>18217535</v>
      </c>
      <c r="Q65" s="87"/>
      <c r="R65" s="87"/>
      <c r="S65" s="87"/>
      <c r="T65" s="87"/>
      <c r="U65" s="87"/>
      <c r="V65" s="87"/>
      <c r="W65" s="87">
        <f>W63+W61</f>
        <v>9414814.948884869</v>
      </c>
      <c r="X65" s="87"/>
      <c r="Y65" s="87"/>
      <c r="Z65" s="87"/>
      <c r="AA65" s="87"/>
      <c r="AB65" s="87"/>
      <c r="AC65" s="87"/>
      <c r="AD65" s="87">
        <f>AD63+AD61</f>
        <v>9451685</v>
      </c>
      <c r="AE65" s="87"/>
    </row>
    <row r="66" spans="4:31" ht="12.75">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row>
    <row r="67" spans="1:31" ht="12.75">
      <c r="A67" t="s">
        <v>22</v>
      </c>
      <c r="D67" s="87"/>
      <c r="E67" s="87"/>
      <c r="F67" s="87"/>
      <c r="G67" s="87"/>
      <c r="H67" s="87"/>
      <c r="I67" s="87"/>
      <c r="J67" s="87"/>
      <c r="K67" s="87"/>
      <c r="L67" s="87"/>
      <c r="M67" s="87"/>
      <c r="N67" s="87"/>
      <c r="O67" s="87"/>
      <c r="P67" s="87"/>
      <c r="Q67" s="87"/>
      <c r="R67" s="87"/>
      <c r="S67" s="87"/>
      <c r="T67" s="87"/>
      <c r="U67" s="87"/>
      <c r="V67" s="87"/>
      <c r="W67" s="87"/>
      <c r="X67" s="87"/>
      <c r="Y67" s="87"/>
      <c r="Z67" s="87"/>
      <c r="AA67" s="87"/>
      <c r="AB67" s="87"/>
      <c r="AC67" s="87"/>
      <c r="AD67" s="87"/>
      <c r="AE67" s="87"/>
    </row>
    <row r="69" spans="1:29" ht="12.75">
      <c r="A69" t="s">
        <v>38</v>
      </c>
      <c r="D69" s="99">
        <f aca="true" t="shared" si="15" ref="D69:H70">D52+D47+D30+D25+D20</f>
        <v>10600</v>
      </c>
      <c r="E69" s="99">
        <f t="shared" si="15"/>
        <v>23200</v>
      </c>
      <c r="F69" s="99">
        <f t="shared" si="15"/>
        <v>72400</v>
      </c>
      <c r="G69" s="99">
        <f t="shared" si="15"/>
        <v>240800</v>
      </c>
      <c r="H69" s="99">
        <f t="shared" si="15"/>
        <v>380800</v>
      </c>
      <c r="K69" s="99">
        <f aca="true" t="shared" si="16" ref="K69:O70">K52+K47+K30+K25+K20</f>
        <v>10560</v>
      </c>
      <c r="L69" s="99">
        <f t="shared" si="16"/>
        <v>20000</v>
      </c>
      <c r="M69" s="99">
        <f t="shared" si="16"/>
        <v>56900</v>
      </c>
      <c r="N69" s="99">
        <f t="shared" si="16"/>
        <v>185800</v>
      </c>
      <c r="O69" s="99">
        <f t="shared" si="16"/>
        <v>290800</v>
      </c>
      <c r="R69" s="99">
        <f aca="true" t="shared" si="17" ref="R69:V70">R52+R47+R30+R25+R20</f>
        <v>10465</v>
      </c>
      <c r="S69" s="99">
        <f t="shared" si="17"/>
        <v>12400</v>
      </c>
      <c r="T69" s="99">
        <f t="shared" si="17"/>
        <v>20087.5</v>
      </c>
      <c r="U69" s="99">
        <f t="shared" si="17"/>
        <v>55175</v>
      </c>
      <c r="V69" s="99">
        <f t="shared" si="17"/>
        <v>77050</v>
      </c>
      <c r="Y69" s="99">
        <f aca="true" t="shared" si="18" ref="Y69:AC70">Y52+Y47+Y30+Y25+Y20</f>
        <v>10510</v>
      </c>
      <c r="Z69" s="99">
        <f t="shared" si="18"/>
        <v>12400</v>
      </c>
      <c r="AA69" s="99">
        <f t="shared" si="18"/>
        <v>20087.5</v>
      </c>
      <c r="AB69" s="99">
        <f t="shared" si="18"/>
        <v>55175</v>
      </c>
      <c r="AC69" s="99">
        <f t="shared" si="18"/>
        <v>77050</v>
      </c>
    </row>
    <row r="70" spans="1:29" ht="12.75">
      <c r="A70" t="s">
        <v>39</v>
      </c>
      <c r="D70" s="99">
        <f t="shared" si="15"/>
        <v>0</v>
      </c>
      <c r="E70" s="99">
        <f t="shared" si="15"/>
        <v>0</v>
      </c>
      <c r="F70" s="99">
        <f t="shared" si="15"/>
        <v>0</v>
      </c>
      <c r="G70" s="99">
        <f t="shared" si="15"/>
        <v>0</v>
      </c>
      <c r="H70" s="99">
        <f t="shared" si="15"/>
        <v>0</v>
      </c>
      <c r="K70" s="99">
        <f t="shared" si="16"/>
        <v>15700</v>
      </c>
      <c r="L70" s="99">
        <f t="shared" si="16"/>
        <v>20400</v>
      </c>
      <c r="M70" s="99">
        <f t="shared" si="16"/>
        <v>38850</v>
      </c>
      <c r="N70" s="99">
        <f t="shared" si="16"/>
        <v>113700</v>
      </c>
      <c r="O70" s="99">
        <f t="shared" si="16"/>
        <v>166200</v>
      </c>
      <c r="R70" s="99">
        <f t="shared" si="17"/>
        <v>21000</v>
      </c>
      <c r="S70" s="99">
        <f t="shared" si="17"/>
        <v>33600</v>
      </c>
      <c r="T70" s="99">
        <f t="shared" si="17"/>
        <v>82800</v>
      </c>
      <c r="U70" s="99">
        <f t="shared" si="17"/>
        <v>261600</v>
      </c>
      <c r="V70" s="99">
        <f t="shared" si="17"/>
        <v>401600</v>
      </c>
      <c r="Y70" s="99">
        <f t="shared" si="18"/>
        <v>21000</v>
      </c>
      <c r="Z70" s="99">
        <f t="shared" si="18"/>
        <v>33600</v>
      </c>
      <c r="AA70" s="99">
        <f t="shared" si="18"/>
        <v>82800</v>
      </c>
      <c r="AB70" s="99">
        <f t="shared" si="18"/>
        <v>261600</v>
      </c>
      <c r="AC70" s="99">
        <f t="shared" si="18"/>
        <v>401600</v>
      </c>
    </row>
  </sheetData>
  <sheetProtection/>
  <mergeCells count="10">
    <mergeCell ref="Z11:AC11"/>
    <mergeCell ref="K8:O8"/>
    <mergeCell ref="R8:V8"/>
    <mergeCell ref="Y8:AC8"/>
    <mergeCell ref="A16:B16"/>
    <mergeCell ref="A44:B44"/>
    <mergeCell ref="E11:H11"/>
    <mergeCell ref="L11:O11"/>
    <mergeCell ref="D8:H8"/>
    <mergeCell ref="S11:V11"/>
  </mergeCells>
  <printOptions/>
  <pageMargins left="0.75" right="0.75" top="1" bottom="1" header="0.5" footer="0.5"/>
  <pageSetup orientation="portrait"/>
  <legacyDrawing r:id="rId2"/>
</worksheet>
</file>

<file path=xl/worksheets/sheet3.xml><?xml version="1.0" encoding="utf-8"?>
<worksheet xmlns="http://schemas.openxmlformats.org/spreadsheetml/2006/main" xmlns:r="http://schemas.openxmlformats.org/officeDocument/2006/relationships">
  <dimension ref="A2:I100"/>
  <sheetViews>
    <sheetView zoomScale="125" zoomScaleNormal="125" zoomScalePageLayoutView="0" workbookViewId="0" topLeftCell="A1">
      <selection activeCell="I34" sqref="I34"/>
    </sheetView>
  </sheetViews>
  <sheetFormatPr defaultColWidth="11.421875" defaultRowHeight="12.75"/>
  <cols>
    <col min="1" max="1" width="34.28125" style="0" customWidth="1"/>
    <col min="2" max="3" width="13.7109375" style="39" customWidth="1"/>
    <col min="4" max="4" width="11.421875" style="0" customWidth="1"/>
    <col min="5" max="5" width="10.8515625" style="39" customWidth="1"/>
    <col min="6" max="7" width="11.421875" style="0" customWidth="1"/>
    <col min="8" max="8" width="2.421875" style="52" customWidth="1"/>
    <col min="9" max="10" width="11.421875" style="0" customWidth="1"/>
    <col min="11" max="11" width="10.7109375" style="0" customWidth="1"/>
  </cols>
  <sheetData>
    <row r="2" ht="23.25">
      <c r="A2" s="72" t="s">
        <v>262</v>
      </c>
    </row>
    <row r="5" spans="2:9" ht="12.75">
      <c r="B5" s="41" t="s">
        <v>170</v>
      </c>
      <c r="C5" s="41" t="s">
        <v>76</v>
      </c>
      <c r="D5" s="41" t="s">
        <v>79</v>
      </c>
      <c r="E5" s="41" t="s">
        <v>77</v>
      </c>
      <c r="F5" s="41" t="s">
        <v>253</v>
      </c>
      <c r="I5" s="38" t="s">
        <v>156</v>
      </c>
    </row>
    <row r="6" spans="2:9" ht="12.75">
      <c r="B6" s="41"/>
      <c r="C6" s="41"/>
      <c r="D6" s="39"/>
      <c r="E6" s="41" t="s">
        <v>78</v>
      </c>
      <c r="F6" s="41" t="s">
        <v>254</v>
      </c>
      <c r="I6" s="38"/>
    </row>
    <row r="7" spans="1:9" ht="12.75">
      <c r="A7" s="38" t="s">
        <v>56</v>
      </c>
      <c r="D7" s="39"/>
      <c r="I7" s="38" t="s">
        <v>155</v>
      </c>
    </row>
    <row r="8" spans="1:9" ht="12.75">
      <c r="A8" t="s">
        <v>54</v>
      </c>
      <c r="B8" s="73">
        <f>Subscriptions!G22</f>
        <v>3320</v>
      </c>
      <c r="C8" s="73">
        <f>Subscriptions!I26</f>
        <v>814</v>
      </c>
      <c r="D8" s="73">
        <f>B8-C8</f>
        <v>2506</v>
      </c>
      <c r="E8" s="74"/>
      <c r="I8" s="38" t="s">
        <v>195</v>
      </c>
    </row>
    <row r="9" spans="1:5" ht="12.75">
      <c r="A9" t="s">
        <v>55</v>
      </c>
      <c r="B9" s="73">
        <f>Subscriptions!G23</f>
        <v>94750</v>
      </c>
      <c r="C9" s="73">
        <f>Subscriptions!I27</f>
        <v>2861</v>
      </c>
      <c r="D9" s="73">
        <f>B9-C9</f>
        <v>91889</v>
      </c>
      <c r="E9" s="74"/>
    </row>
    <row r="10" spans="2:5" ht="12.75">
      <c r="B10" s="74"/>
      <c r="C10" s="74"/>
      <c r="D10" s="74"/>
      <c r="E10" s="74"/>
    </row>
    <row r="11" spans="1:5" ht="12.75">
      <c r="A11" s="38" t="s">
        <v>124</v>
      </c>
      <c r="B11" s="74"/>
      <c r="C11" s="74"/>
      <c r="D11" s="74"/>
      <c r="E11" s="74"/>
    </row>
    <row r="12" spans="1:6" ht="12.75">
      <c r="A12" t="s">
        <v>54</v>
      </c>
      <c r="B12" s="75">
        <f>'Subscription costs'!G22</f>
        <v>166000</v>
      </c>
      <c r="C12" s="75">
        <f>'Subscription costs'!I26</f>
        <v>81400</v>
      </c>
      <c r="D12" s="74"/>
      <c r="E12" s="75">
        <f>B12-C12</f>
        <v>84600</v>
      </c>
      <c r="F12" s="85">
        <f>E12/52</f>
        <v>1626.923076923077</v>
      </c>
    </row>
    <row r="13" spans="1:6" ht="12.75">
      <c r="A13" t="s">
        <v>55</v>
      </c>
      <c r="B13" s="75">
        <f>'Subscription costs'!G23</f>
        <v>4737500</v>
      </c>
      <c r="C13" s="75">
        <f>'Subscription costs'!I27</f>
        <v>286100</v>
      </c>
      <c r="D13" s="74"/>
      <c r="E13" s="75">
        <f>B13-C13</f>
        <v>4451400</v>
      </c>
      <c r="F13" s="85">
        <f>E13/52</f>
        <v>85603.84615384616</v>
      </c>
    </row>
    <row r="14" spans="2:5" ht="12.75">
      <c r="B14" s="74"/>
      <c r="C14" s="74"/>
      <c r="D14" s="74"/>
      <c r="E14" s="74"/>
    </row>
    <row r="15" spans="1:5" ht="12.75">
      <c r="A15" s="38" t="s">
        <v>85</v>
      </c>
      <c r="B15" s="74"/>
      <c r="C15" s="74"/>
      <c r="D15" s="74"/>
      <c r="E15" s="74"/>
    </row>
    <row r="16" spans="1:5" ht="12.75">
      <c r="A16" t="s">
        <v>106</v>
      </c>
      <c r="B16" s="74"/>
      <c r="C16" s="74"/>
      <c r="D16" s="74"/>
      <c r="E16" s="74"/>
    </row>
    <row r="17" spans="1:5" ht="12.75">
      <c r="A17" t="s">
        <v>107</v>
      </c>
      <c r="B17" s="74"/>
      <c r="C17" s="74"/>
      <c r="D17" s="74"/>
      <c r="E17" s="74"/>
    </row>
    <row r="18" spans="1:9" ht="12.75">
      <c r="A18" s="57" t="str">
        <f>'Files per year'!L23</f>
        <v>1 file per day</v>
      </c>
      <c r="B18" s="74"/>
      <c r="C18" s="74"/>
      <c r="D18" s="74"/>
      <c r="E18" s="74"/>
      <c r="I18" t="s">
        <v>164</v>
      </c>
    </row>
    <row r="19" spans="1:5" ht="12.75">
      <c r="A19" t="s">
        <v>86</v>
      </c>
      <c r="B19" s="73">
        <f>'Files per year'!G22</f>
        <v>393610</v>
      </c>
      <c r="C19" s="73">
        <f>'Files per year'!I26</f>
        <v>297110</v>
      </c>
      <c r="D19" s="73">
        <f>B19-C19</f>
        <v>96500</v>
      </c>
      <c r="E19" s="74"/>
    </row>
    <row r="20" spans="1:5" ht="12.75">
      <c r="A20" t="s">
        <v>105</v>
      </c>
      <c r="B20" s="73">
        <f>'Files per year'!G23</f>
        <v>14309000</v>
      </c>
      <c r="C20" s="73">
        <f>'Files per year'!I27</f>
        <v>1044265</v>
      </c>
      <c r="D20" s="73">
        <f>B20-C20</f>
        <v>13264735</v>
      </c>
      <c r="E20" s="74"/>
    </row>
    <row r="21" spans="2:5" ht="12.75">
      <c r="B21" s="74"/>
      <c r="C21" s="74"/>
      <c r="D21" s="74"/>
      <c r="E21" s="74"/>
    </row>
    <row r="22" spans="1:5" ht="12.75">
      <c r="A22" s="38" t="s">
        <v>270</v>
      </c>
      <c r="B22" s="74"/>
      <c r="C22" s="74"/>
      <c r="D22" s="74"/>
      <c r="E22" s="74"/>
    </row>
    <row r="23" spans="1:5" ht="12.75">
      <c r="A23" t="s">
        <v>268</v>
      </c>
      <c r="B23" s="74"/>
      <c r="C23" s="74"/>
      <c r="D23" s="74"/>
      <c r="E23" s="74"/>
    </row>
    <row r="24" spans="1:5" ht="12.75">
      <c r="A24" t="s">
        <v>269</v>
      </c>
      <c r="B24" s="74"/>
      <c r="C24" s="74"/>
      <c r="D24" s="74"/>
      <c r="E24" s="74"/>
    </row>
    <row r="25" spans="1:9" ht="12.75">
      <c r="A25" s="57" t="str">
        <f>'gBytes per year'!L30</f>
        <v>Full zone</v>
      </c>
      <c r="B25" s="74"/>
      <c r="C25" s="74"/>
      <c r="D25" s="74"/>
      <c r="E25" s="74"/>
      <c r="I25" t="s">
        <v>47</v>
      </c>
    </row>
    <row r="26" spans="1:9" ht="12.75">
      <c r="A26" s="57" t="str">
        <f>'ZF size'!K21</f>
        <v>No DNSSEC</v>
      </c>
      <c r="E26" s="74"/>
      <c r="I26" t="s">
        <v>46</v>
      </c>
    </row>
    <row r="27" spans="1:5" ht="12.75">
      <c r="A27" t="s">
        <v>54</v>
      </c>
      <c r="B27" s="73">
        <f>'gBytes per year'!G22</f>
        <v>153969.33</v>
      </c>
      <c r="C27" s="73">
        <f>'gBytes per year'!I26</f>
        <v>155048.63499999998</v>
      </c>
      <c r="D27" s="73">
        <f>B27-C27</f>
        <v>-1079.304999999993</v>
      </c>
      <c r="E27" s="74"/>
    </row>
    <row r="28" spans="1:5" ht="12.75">
      <c r="A28" t="s">
        <v>55</v>
      </c>
      <c r="B28" s="73">
        <f>'gBytes per year'!G23</f>
        <v>1077162.5</v>
      </c>
      <c r="C28" s="73">
        <f>'gBytes per year'!I27</f>
        <v>1080584.375</v>
      </c>
      <c r="D28" s="73">
        <f>B28-C28</f>
        <v>-3421.875</v>
      </c>
      <c r="E28" s="74"/>
    </row>
    <row r="29" spans="2:5" ht="12.75">
      <c r="B29" s="74"/>
      <c r="C29" s="74"/>
      <c r="D29" s="74"/>
      <c r="E29" s="74"/>
    </row>
    <row r="30" spans="1:5" ht="12.75">
      <c r="A30" s="38" t="s">
        <v>168</v>
      </c>
      <c r="B30" s="74"/>
      <c r="C30" s="74"/>
      <c r="D30" s="74"/>
      <c r="E30" s="74"/>
    </row>
    <row r="31" spans="1:6" ht="12.75">
      <c r="A31" t="s">
        <v>54</v>
      </c>
      <c r="B31" s="75">
        <f>'Xfer &amp; Storage Cost'!G22</f>
        <v>39262.179149999996</v>
      </c>
      <c r="C31" s="75">
        <f>'Xfer &amp; Storage Cost'!I26</f>
        <v>39537.401925</v>
      </c>
      <c r="D31" s="74"/>
      <c r="E31" s="75">
        <f>B31-C31</f>
        <v>-275.222775000002</v>
      </c>
      <c r="F31" s="85">
        <f>E31/52</f>
        <v>-5.292745673076961</v>
      </c>
    </row>
    <row r="32" spans="1:6" ht="12.75">
      <c r="A32" t="s">
        <v>169</v>
      </c>
      <c r="B32" s="75">
        <f>'Xfer &amp; Storage Cost'!G23</f>
        <v>274676.4375</v>
      </c>
      <c r="C32" s="75">
        <f>'Xfer &amp; Storage Cost'!I27</f>
        <v>275549.015625</v>
      </c>
      <c r="D32" s="74"/>
      <c r="E32" s="75">
        <f>B32-C32</f>
        <v>-872.578125</v>
      </c>
      <c r="F32" s="85">
        <f>E32/52</f>
        <v>-16.780348557692307</v>
      </c>
    </row>
    <row r="35" ht="23.25">
      <c r="A35" s="72" t="s">
        <v>218</v>
      </c>
    </row>
    <row r="37" ht="15.75">
      <c r="A37" s="13" t="s">
        <v>157</v>
      </c>
    </row>
    <row r="38" ht="12.75">
      <c r="I38" s="38" t="s">
        <v>165</v>
      </c>
    </row>
    <row r="39" spans="1:9" ht="15">
      <c r="A39" s="80" t="s">
        <v>224</v>
      </c>
      <c r="I39" s="38"/>
    </row>
    <row r="40" spans="1:9" ht="12.75">
      <c r="A40" s="3" t="s">
        <v>108</v>
      </c>
      <c r="I40" s="38" t="s">
        <v>159</v>
      </c>
    </row>
    <row r="41" spans="1:9" ht="12.75">
      <c r="A41" s="2" t="s">
        <v>122</v>
      </c>
      <c r="B41" s="75">
        <f>'Subscription costs'!G38</f>
        <v>144</v>
      </c>
      <c r="C41" s="75">
        <f>'Subscription costs'!I38</f>
        <v>100</v>
      </c>
      <c r="E41" s="75">
        <f>B41-C41</f>
        <v>44</v>
      </c>
      <c r="F41" s="85">
        <f>E41/52</f>
        <v>0.8461538461538461</v>
      </c>
      <c r="I41" s="38" t="s">
        <v>158</v>
      </c>
    </row>
    <row r="42" spans="1:6" ht="12.75">
      <c r="A42" s="2" t="s">
        <v>119</v>
      </c>
      <c r="B42" s="75">
        <f>'Subscription costs'!G39</f>
        <v>1050</v>
      </c>
      <c r="C42" s="75">
        <f>'Subscription costs'!I39</f>
        <v>100</v>
      </c>
      <c r="E42" s="75">
        <f>B42-C42</f>
        <v>950</v>
      </c>
      <c r="F42" s="85">
        <f>E42/52</f>
        <v>18.26923076923077</v>
      </c>
    </row>
    <row r="43" spans="1:3" ht="12.75">
      <c r="A43" s="2"/>
      <c r="B43" s="75"/>
      <c r="C43" s="75"/>
    </row>
    <row r="44" spans="1:3" ht="12.75">
      <c r="A44" s="3" t="s">
        <v>110</v>
      </c>
      <c r="B44" s="75"/>
      <c r="C44" s="75"/>
    </row>
    <row r="45" spans="1:6" ht="12.75">
      <c r="A45" s="2" t="s">
        <v>197</v>
      </c>
      <c r="B45" s="75">
        <f>'Subscription costs'!G42</f>
        <v>247.5</v>
      </c>
      <c r="C45" s="75">
        <f>'Subscription costs'!I42</f>
        <v>100</v>
      </c>
      <c r="E45" s="75">
        <f>B45-C45</f>
        <v>147.5</v>
      </c>
      <c r="F45" s="85">
        <f>E45/52</f>
        <v>2.8365384615384617</v>
      </c>
    </row>
    <row r="46" spans="1:6" ht="12.75">
      <c r="A46" s="2" t="s">
        <v>109</v>
      </c>
      <c r="B46" s="75">
        <f>'Subscription costs'!G43</f>
        <v>2925</v>
      </c>
      <c r="C46" s="75">
        <f>'Subscription costs'!I43</f>
        <v>100</v>
      </c>
      <c r="E46" s="75">
        <f>B46-C46</f>
        <v>2825</v>
      </c>
      <c r="F46" s="85">
        <f>E46/52</f>
        <v>54.32692307692308</v>
      </c>
    </row>
    <row r="47" spans="1:3" ht="12.75">
      <c r="A47" s="2"/>
      <c r="B47" s="75"/>
      <c r="C47" s="75"/>
    </row>
    <row r="48" spans="1:3" ht="12.75">
      <c r="A48" s="3" t="s">
        <v>111</v>
      </c>
      <c r="B48" s="75"/>
      <c r="C48" s="75"/>
    </row>
    <row r="49" spans="1:6" ht="12.75">
      <c r="A49" s="2" t="s">
        <v>197</v>
      </c>
      <c r="B49" s="75">
        <f>'Subscription costs'!G46</f>
        <v>445</v>
      </c>
      <c r="C49" s="75">
        <f>'Subscription costs'!I46</f>
        <v>100</v>
      </c>
      <c r="E49" s="75">
        <f>B49-C49</f>
        <v>345</v>
      </c>
      <c r="F49" s="85">
        <f>E49/52</f>
        <v>6.634615384615385</v>
      </c>
    </row>
    <row r="50" spans="1:6" ht="12.75">
      <c r="A50" s="2" t="s">
        <v>109</v>
      </c>
      <c r="B50" s="75">
        <f>'Subscription costs'!G47</f>
        <v>6800</v>
      </c>
      <c r="C50" s="75">
        <f>'Subscription costs'!I47</f>
        <v>100</v>
      </c>
      <c r="E50" s="75">
        <f>B50-C50</f>
        <v>6700</v>
      </c>
      <c r="F50" s="85">
        <f>E50/52</f>
        <v>128.84615384615384</v>
      </c>
    </row>
    <row r="52" ht="15">
      <c r="A52" s="81" t="s">
        <v>225</v>
      </c>
    </row>
    <row r="53" ht="12.75">
      <c r="A53" s="3" t="s">
        <v>108</v>
      </c>
    </row>
    <row r="54" spans="1:6" ht="12.75">
      <c r="A54" s="2" t="s">
        <v>122</v>
      </c>
      <c r="B54" s="75">
        <f>'Subscription costs'!C78</f>
        <v>1500</v>
      </c>
      <c r="C54" s="75">
        <f>'Subscription costs'!C82</f>
        <v>100</v>
      </c>
      <c r="E54" s="75">
        <f>B54-C54</f>
        <v>1400</v>
      </c>
      <c r="F54" s="85">
        <f>E54/52</f>
        <v>26.923076923076923</v>
      </c>
    </row>
    <row r="55" spans="1:6" ht="12.75">
      <c r="A55" s="2" t="s">
        <v>119</v>
      </c>
      <c r="B55" s="75">
        <f>'Subscription costs'!C79</f>
        <v>4000</v>
      </c>
      <c r="C55" s="75">
        <f>'Subscription costs'!C83</f>
        <v>100</v>
      </c>
      <c r="E55" s="75">
        <f>B55-C55</f>
        <v>3900</v>
      </c>
      <c r="F55" s="85">
        <f>E55/52</f>
        <v>75</v>
      </c>
    </row>
    <row r="56" spans="1:3" ht="12.75">
      <c r="A56" s="2"/>
      <c r="B56" s="75"/>
      <c r="C56" s="75"/>
    </row>
    <row r="57" spans="1:3" ht="12.75">
      <c r="A57" s="3" t="s">
        <v>110</v>
      </c>
      <c r="B57" s="75"/>
      <c r="C57" s="75"/>
    </row>
    <row r="58" spans="1:6" ht="12.75">
      <c r="A58" s="2" t="s">
        <v>197</v>
      </c>
      <c r="B58" s="75">
        <f>'Subscription costs'!D78</f>
        <v>7500</v>
      </c>
      <c r="C58" s="75">
        <f>'Subscription costs'!D82</f>
        <v>100</v>
      </c>
      <c r="E58" s="75">
        <f>B58-C58</f>
        <v>7400</v>
      </c>
      <c r="F58" s="85">
        <f>E58/52</f>
        <v>142.30769230769232</v>
      </c>
    </row>
    <row r="59" spans="1:6" ht="12.75">
      <c r="A59" s="2" t="s">
        <v>109</v>
      </c>
      <c r="B59" s="75">
        <f>'Subscription costs'!D79</f>
        <v>19375</v>
      </c>
      <c r="C59" s="75">
        <f>'Subscription costs'!D83</f>
        <v>100</v>
      </c>
      <c r="E59" s="75">
        <f>B59-C59</f>
        <v>19275</v>
      </c>
      <c r="F59" s="85">
        <f>E59/52</f>
        <v>370.6730769230769</v>
      </c>
    </row>
    <row r="60" spans="1:3" ht="12.75">
      <c r="A60" s="2"/>
      <c r="B60" s="75"/>
      <c r="C60" s="75"/>
    </row>
    <row r="61" spans="1:3" ht="12.75">
      <c r="A61" s="3" t="s">
        <v>111</v>
      </c>
      <c r="B61" s="75"/>
      <c r="C61" s="75"/>
    </row>
    <row r="62" spans="1:6" ht="12.75">
      <c r="A62" s="2" t="s">
        <v>197</v>
      </c>
      <c r="B62" s="75">
        <f>'Subscription costs'!E78</f>
        <v>25000</v>
      </c>
      <c r="C62" s="75">
        <f>'Subscription costs'!E82</f>
        <v>100</v>
      </c>
      <c r="E62" s="75">
        <f>B62-C62</f>
        <v>24900</v>
      </c>
      <c r="F62" s="85">
        <f>E62/52</f>
        <v>478.84615384615387</v>
      </c>
    </row>
    <row r="63" spans="1:6" ht="12.75">
      <c r="A63" s="2" t="s">
        <v>109</v>
      </c>
      <c r="B63" s="75">
        <f>'Subscription costs'!E79</f>
        <v>68750</v>
      </c>
      <c r="C63" s="75">
        <f>'Subscription costs'!E83</f>
        <v>100</v>
      </c>
      <c r="E63" s="75">
        <f>B63-C63</f>
        <v>68650</v>
      </c>
      <c r="F63" s="85">
        <f>E63/52</f>
        <v>1320.1923076923076</v>
      </c>
    </row>
    <row r="64" spans="2:3" ht="12.75">
      <c r="B64" s="75"/>
      <c r="C64" s="75"/>
    </row>
    <row r="65" ht="12.75">
      <c r="A65" s="3" t="s">
        <v>223</v>
      </c>
    </row>
    <row r="66" spans="1:6" ht="12.75">
      <c r="A66" s="2" t="s">
        <v>221</v>
      </c>
      <c r="B66" s="75">
        <f>'Subscription costs'!F78</f>
        <v>40000</v>
      </c>
      <c r="C66" s="75">
        <f>'Subscription costs'!F82</f>
        <v>100</v>
      </c>
      <c r="E66" s="75">
        <f>B66-C66</f>
        <v>39900</v>
      </c>
      <c r="F66" s="85">
        <f>E66/52</f>
        <v>767.3076923076923</v>
      </c>
    </row>
    <row r="67" spans="1:6" ht="12.75">
      <c r="A67" s="2" t="s">
        <v>222</v>
      </c>
      <c r="B67" s="75">
        <f>'Subscription costs'!F79</f>
        <v>112500</v>
      </c>
      <c r="C67" s="75">
        <f>'Subscription costs'!F83</f>
        <v>100</v>
      </c>
      <c r="E67" s="75">
        <f>B67-C67</f>
        <v>112400</v>
      </c>
      <c r="F67" s="85">
        <f>E67/52</f>
        <v>2161.5384615384614</v>
      </c>
    </row>
    <row r="70" ht="15.75">
      <c r="A70" s="13" t="s">
        <v>160</v>
      </c>
    </row>
    <row r="72" ht="15">
      <c r="A72" s="80" t="s">
        <v>224</v>
      </c>
    </row>
    <row r="73" ht="12.75">
      <c r="A73" s="3" t="s">
        <v>108</v>
      </c>
    </row>
    <row r="74" spans="1:6" ht="12.75">
      <c r="A74" s="2" t="s">
        <v>122</v>
      </c>
      <c r="B74" s="75">
        <f>'Xfer &amp; Storage Cost'!C38+'Xfer &amp; Storage Cost'!G38</f>
        <v>5.1644388</v>
      </c>
      <c r="C74" s="75">
        <f>'Xfer &amp; Storage Cost'!I38</f>
        <v>5.1643644</v>
      </c>
      <c r="E74" s="75">
        <f>B74-C74</f>
        <v>7.439999999991898E-05</v>
      </c>
      <c r="F74" s="85">
        <f>E74/52</f>
        <v>1.4307692307676726E-06</v>
      </c>
    </row>
    <row r="75" spans="1:6" ht="12.75">
      <c r="A75" s="2" t="s">
        <v>119</v>
      </c>
      <c r="B75" s="75">
        <f>'Xfer &amp; Storage Cost'!C39+'Xfer &amp; Storage Cost'!G39</f>
        <v>11.787750000000003</v>
      </c>
      <c r="C75" s="75">
        <f>'Xfer &amp; Storage Cost'!I39</f>
        <v>11.7645</v>
      </c>
      <c r="E75" s="75">
        <f>B75-C75</f>
        <v>0.023250000000002657</v>
      </c>
      <c r="F75" s="85">
        <f>E75/52</f>
        <v>0.00044711538461543574</v>
      </c>
    </row>
    <row r="76" spans="1:3" ht="12.75">
      <c r="A76" s="2"/>
      <c r="B76" s="75"/>
      <c r="C76" s="75"/>
    </row>
    <row r="77" spans="1:3" ht="12.75">
      <c r="A77" s="3" t="s">
        <v>110</v>
      </c>
      <c r="B77" s="75"/>
      <c r="C77" s="75"/>
    </row>
    <row r="78" spans="1:6" ht="12.75">
      <c r="A78" s="2" t="s">
        <v>197</v>
      </c>
      <c r="B78" s="75">
        <f>'Xfer &amp; Storage Cost'!C42+'Xfer &amp; Storage Cost'!G42</f>
        <v>23.033062</v>
      </c>
      <c r="C78" s="75">
        <f>'Xfer &amp; Storage Cost'!I42</f>
        <v>23.032256</v>
      </c>
      <c r="E78" s="75">
        <f>B78-C78</f>
        <v>0.0008060000000007506</v>
      </c>
      <c r="F78" s="85">
        <f>E78/52</f>
        <v>1.5500000000014434E-05</v>
      </c>
    </row>
    <row r="79" spans="1:6" ht="12.75">
      <c r="A79" s="2" t="s">
        <v>109</v>
      </c>
      <c r="B79" s="75">
        <f>'Xfer &amp; Storage Cost'!C43+'Xfer &amp; Storage Cost'!G43</f>
        <v>58.434999999999995</v>
      </c>
      <c r="C79" s="75">
        <f>'Xfer &amp; Storage Cost'!I43</f>
        <v>58.183125</v>
      </c>
      <c r="E79" s="75">
        <f>B79-C79</f>
        <v>0.2518749999999983</v>
      </c>
      <c r="F79" s="85">
        <f>E79/52</f>
        <v>0.004843749999999967</v>
      </c>
    </row>
    <row r="80" spans="1:3" ht="12.75">
      <c r="A80" s="2"/>
      <c r="B80" s="75"/>
      <c r="C80" s="75"/>
    </row>
    <row r="81" spans="1:3" ht="12.75">
      <c r="A81" s="3" t="s">
        <v>111</v>
      </c>
      <c r="B81" s="75"/>
      <c r="C81" s="75"/>
    </row>
    <row r="82" spans="1:6" ht="12.75">
      <c r="A82" s="2" t="s">
        <v>197</v>
      </c>
      <c r="B82" s="75">
        <f>'Xfer &amp; Storage Cost'!C46+'Xfer &amp; Storage Cost'!G46</f>
        <v>166.7774425</v>
      </c>
      <c r="C82" s="75">
        <f>'Xfer &amp; Storage Cost'!I46</f>
        <v>166.76612749999998</v>
      </c>
      <c r="E82" s="75">
        <f>B82-C82</f>
        <v>0.011315000000024611</v>
      </c>
      <c r="F82" s="85">
        <f>E82/52</f>
        <v>0.00021759615384662714</v>
      </c>
    </row>
    <row r="83" spans="1:6" ht="12.75">
      <c r="A83" s="2" t="s">
        <v>109</v>
      </c>
      <c r="B83" s="75">
        <f>'Xfer &amp; Storage Cost'!C47+'Xfer &amp; Storage Cost'!G47</f>
        <v>484.4234375</v>
      </c>
      <c r="C83" s="75">
        <f>'Xfer &amp; Storage Cost'!I47</f>
        <v>480.8875</v>
      </c>
      <c r="E83" s="75">
        <f>B83-C83</f>
        <v>3.5359374999999886</v>
      </c>
      <c r="F83" s="85">
        <f>E83/52</f>
        <v>0.06799879807692286</v>
      </c>
    </row>
    <row r="85" ht="15">
      <c r="A85" s="81" t="s">
        <v>225</v>
      </c>
    </row>
    <row r="86" ht="12.75">
      <c r="A86" s="3" t="s">
        <v>108</v>
      </c>
    </row>
    <row r="87" spans="1:6" ht="12.75">
      <c r="A87" s="2" t="s">
        <v>122</v>
      </c>
      <c r="B87" s="75">
        <f>'Xfer &amp; Storage Cost'!C78</f>
        <v>0.2145</v>
      </c>
      <c r="C87" s="82">
        <f>'Xfer &amp; Storage Cost'!C82</f>
        <v>0.0006435000000000001</v>
      </c>
      <c r="E87" s="75">
        <f>B87-C87</f>
        <v>0.2138565</v>
      </c>
      <c r="F87" s="85">
        <f>E87/52</f>
        <v>0.004112625</v>
      </c>
    </row>
    <row r="88" spans="1:6" ht="12.75">
      <c r="A88" s="2" t="s">
        <v>119</v>
      </c>
      <c r="B88" s="75">
        <f>'Xfer &amp; Storage Cost'!C79</f>
        <v>1.348125</v>
      </c>
      <c r="C88" s="82">
        <f>'Xfer &amp; Storage Cost'!C83</f>
        <v>0.004044375</v>
      </c>
      <c r="E88" s="75">
        <f>B88-C88</f>
        <v>1.344080625</v>
      </c>
      <c r="F88" s="85">
        <f>E88/52</f>
        <v>0.025847704326923075</v>
      </c>
    </row>
    <row r="89" spans="1:3" ht="12.75">
      <c r="A89" s="2"/>
      <c r="B89" s="75"/>
      <c r="C89" s="75"/>
    </row>
    <row r="90" spans="1:3" ht="12.75">
      <c r="A90" s="3" t="s">
        <v>110</v>
      </c>
      <c r="B90" s="75"/>
      <c r="C90" s="75"/>
    </row>
    <row r="91" spans="1:6" ht="12.75">
      <c r="A91" s="2" t="s">
        <v>197</v>
      </c>
      <c r="B91" s="75">
        <f>'Xfer &amp; Storage Cost'!D78</f>
        <v>15.1375</v>
      </c>
      <c r="C91" s="75">
        <f>'Xfer &amp; Storage Cost'!D82</f>
        <v>0.0454125</v>
      </c>
      <c r="E91" s="75">
        <f>B91-C91</f>
        <v>15.0920875</v>
      </c>
      <c r="F91" s="85">
        <f>E91/52</f>
        <v>0.2902324519230769</v>
      </c>
    </row>
    <row r="92" spans="1:6" ht="12.75">
      <c r="A92" s="2" t="s">
        <v>109</v>
      </c>
      <c r="B92" s="75">
        <f>'Xfer &amp; Storage Cost'!D79</f>
        <v>94.796875</v>
      </c>
      <c r="C92" s="75">
        <f>'Xfer &amp; Storage Cost'!D83</f>
        <v>0.284390625</v>
      </c>
      <c r="E92" s="75">
        <f>B92-C92</f>
        <v>94.512484375</v>
      </c>
      <c r="F92" s="85">
        <f>E92/52</f>
        <v>1.8175477764423076</v>
      </c>
    </row>
    <row r="93" spans="1:3" ht="12.75">
      <c r="A93" s="2"/>
      <c r="B93" s="75"/>
      <c r="C93" s="75"/>
    </row>
    <row r="94" spans="1:3" ht="12.75">
      <c r="A94" s="3" t="s">
        <v>111</v>
      </c>
      <c r="B94" s="75"/>
      <c r="C94" s="75"/>
    </row>
    <row r="95" spans="1:6" ht="12.75">
      <c r="A95" s="2" t="s">
        <v>197</v>
      </c>
      <c r="B95" s="75">
        <f>'Xfer &amp; Storage Cost'!E78</f>
        <v>473</v>
      </c>
      <c r="C95" s="75">
        <f>'Xfer &amp; Storage Cost'!E82</f>
        <v>1.419</v>
      </c>
      <c r="E95" s="75">
        <f>B95-C95</f>
        <v>471.581</v>
      </c>
      <c r="F95" s="85">
        <f>E95/52</f>
        <v>9.068865384615385</v>
      </c>
    </row>
    <row r="96" spans="1:6" ht="12.75">
      <c r="A96" s="2" t="s">
        <v>109</v>
      </c>
      <c r="B96" s="75">
        <f>'Xfer &amp; Storage Cost'!E79</f>
        <v>2993.75</v>
      </c>
      <c r="C96" s="75">
        <f>'Xfer &amp; Storage Cost'!E83</f>
        <v>8.981250000000001</v>
      </c>
      <c r="E96" s="75">
        <f>B96-C96</f>
        <v>2984.76875</v>
      </c>
      <c r="F96" s="85">
        <f>E96/52</f>
        <v>57.39939903846154</v>
      </c>
    </row>
    <row r="97" spans="2:3" ht="12.75">
      <c r="B97" s="75"/>
      <c r="C97" s="75"/>
    </row>
    <row r="98" ht="12.75">
      <c r="A98" s="3" t="s">
        <v>223</v>
      </c>
    </row>
    <row r="99" spans="1:6" ht="12.75">
      <c r="A99" s="2" t="s">
        <v>221</v>
      </c>
      <c r="B99" s="75">
        <f>'Xfer &amp; Storage Cost'!F78</f>
        <v>35409.9375</v>
      </c>
      <c r="C99" s="75">
        <f>'Xfer &amp; Storage Cost'!F82</f>
        <v>41.658750000000005</v>
      </c>
      <c r="E99" s="75">
        <f>B99-C99</f>
        <v>35368.27875</v>
      </c>
      <c r="F99" s="85">
        <f>E99/52</f>
        <v>680.1592067307691</v>
      </c>
    </row>
    <row r="100" spans="1:6" ht="12.75">
      <c r="A100" s="2" t="s">
        <v>222</v>
      </c>
      <c r="B100" s="75">
        <f>'Xfer &amp; Storage Cost'!F79</f>
        <v>172443.75</v>
      </c>
      <c r="C100" s="75">
        <f>'Xfer &amp; Storage Cost'!F83</f>
        <v>202.875</v>
      </c>
      <c r="E100" s="75">
        <f>B100-C100</f>
        <v>172240.875</v>
      </c>
      <c r="F100" s="85">
        <f>E100/52</f>
        <v>3312.324519230769</v>
      </c>
    </row>
  </sheetData>
  <sheetProtection/>
  <printOptions/>
  <pageMargins left="0.75" right="0.75" top="1" bottom="1" header="0.5" footer="0.5"/>
  <pageSetup orientation="landscape"/>
</worksheet>
</file>

<file path=xl/worksheets/sheet4.xml><?xml version="1.0" encoding="utf-8"?>
<worksheet xmlns="http://schemas.openxmlformats.org/spreadsheetml/2006/main" xmlns:r="http://schemas.openxmlformats.org/officeDocument/2006/relationships">
  <dimension ref="A1:K85"/>
  <sheetViews>
    <sheetView zoomScale="125" zoomScaleNormal="125" zoomScalePageLayoutView="0" workbookViewId="0" topLeftCell="A1">
      <selection activeCell="B20" sqref="B20"/>
    </sheetView>
  </sheetViews>
  <sheetFormatPr defaultColWidth="12.00390625" defaultRowHeight="13.5" customHeight="1"/>
  <cols>
    <col min="1" max="8" width="12.00390625" style="5" customWidth="1"/>
    <col min="9" max="9" width="12.00390625" style="9" customWidth="1"/>
    <col min="10" max="10" width="2.28125" style="77" customWidth="1"/>
    <col min="11" max="16384" width="12.00390625" style="5" customWidth="1"/>
  </cols>
  <sheetData>
    <row r="1" spans="1:10" s="9" customFormat="1" ht="13.5" customHeight="1">
      <c r="A1" s="162" t="s">
        <v>194</v>
      </c>
      <c r="B1" s="162"/>
      <c r="C1" s="162"/>
      <c r="D1" s="162"/>
      <c r="E1" s="162"/>
      <c r="F1" s="162"/>
      <c r="G1" s="162"/>
      <c r="H1" s="162"/>
      <c r="I1" s="162"/>
      <c r="J1" s="76"/>
    </row>
    <row r="2" spans="1:11" ht="13.5" customHeight="1">
      <c r="A2" s="163" t="s">
        <v>193</v>
      </c>
      <c r="B2" s="163"/>
      <c r="C2" s="163"/>
      <c r="D2" s="163"/>
      <c r="E2" s="163"/>
      <c r="F2" s="163"/>
      <c r="G2" s="163"/>
      <c r="H2" s="163"/>
      <c r="K2" s="5" t="s">
        <v>83</v>
      </c>
    </row>
    <row r="4" spans="1:11" ht="13.5" customHeight="1">
      <c r="A4" s="6"/>
      <c r="B4" s="4" t="s">
        <v>112</v>
      </c>
      <c r="C4" s="4" t="s">
        <v>108</v>
      </c>
      <c r="D4" s="4" t="s">
        <v>110</v>
      </c>
      <c r="E4" s="4" t="s">
        <v>111</v>
      </c>
      <c r="F4" s="4" t="s">
        <v>261</v>
      </c>
      <c r="G4" s="4" t="s">
        <v>117</v>
      </c>
      <c r="H4" s="31"/>
      <c r="I4" s="10" t="s">
        <v>258</v>
      </c>
      <c r="K4" s="5" t="s">
        <v>84</v>
      </c>
    </row>
    <row r="5" spans="1:11" ht="13.5" customHeight="1">
      <c r="A5" s="6"/>
      <c r="B5" s="6" t="s">
        <v>197</v>
      </c>
      <c r="C5" s="16">
        <f>'Model Comparisons'!D22</f>
        <v>4</v>
      </c>
      <c r="D5" s="16">
        <f>'Model Comparisons'!E22</f>
        <v>6</v>
      </c>
      <c r="E5" s="16">
        <f>'Model Comparisons'!F22</f>
        <v>3</v>
      </c>
      <c r="F5" s="16">
        <f>'Model Comparisons'!G22</f>
        <v>1</v>
      </c>
      <c r="G5" s="6">
        <f>SUM(C5:F5)</f>
        <v>14</v>
      </c>
      <c r="H5" s="31"/>
      <c r="I5" s="27" t="s">
        <v>187</v>
      </c>
      <c r="K5" s="5" t="s">
        <v>32</v>
      </c>
    </row>
    <row r="6" spans="1:11" ht="13.5" customHeight="1">
      <c r="A6" s="2"/>
      <c r="B6" s="6" t="s">
        <v>109</v>
      </c>
      <c r="C6" s="16">
        <f>'Model Comparisons'!D23</f>
        <v>500</v>
      </c>
      <c r="D6" s="16">
        <f>'Model Comparisons'!E23</f>
        <v>100</v>
      </c>
      <c r="E6" s="16">
        <f>'Model Comparisons'!F23</f>
        <v>10</v>
      </c>
      <c r="F6" s="16">
        <f>'Model Comparisons'!G23</f>
        <v>1</v>
      </c>
      <c r="G6" s="6">
        <f>SUM(C6:F6)</f>
        <v>611</v>
      </c>
      <c r="H6" s="31"/>
      <c r="I6" s="27" t="s">
        <v>188</v>
      </c>
      <c r="K6" s="5" t="s">
        <v>35</v>
      </c>
    </row>
    <row r="7" spans="1:11" ht="13.5" customHeight="1">
      <c r="A7" s="2"/>
      <c r="B7" s="9"/>
      <c r="C7" s="6"/>
      <c r="D7" s="6"/>
      <c r="E7" s="6"/>
      <c r="F7" s="6"/>
      <c r="G7" s="6"/>
      <c r="H7" s="31"/>
      <c r="I7" s="27" t="s">
        <v>189</v>
      </c>
      <c r="K7" s="5" t="s">
        <v>136</v>
      </c>
    </row>
    <row r="8" spans="1:8" ht="13.5" customHeight="1">
      <c r="A8" s="3" t="s">
        <v>260</v>
      </c>
      <c r="B8" s="9"/>
      <c r="C8" s="9"/>
      <c r="D8" s="9"/>
      <c r="E8" s="9"/>
      <c r="F8" s="9"/>
      <c r="G8" s="6"/>
      <c r="H8" s="31"/>
    </row>
    <row r="9" spans="1:11" ht="13.5" customHeight="1">
      <c r="A9" s="3" t="s">
        <v>108</v>
      </c>
      <c r="B9" s="12"/>
      <c r="C9" s="14">
        <f>'Model Comparisons'!D27</f>
        <v>0.02</v>
      </c>
      <c r="D9" s="14">
        <f>'Model Comparisons'!E27</f>
        <v>0.05</v>
      </c>
      <c r="E9" s="14">
        <f>'Model Comparisons'!F27</f>
        <v>0.5</v>
      </c>
      <c r="F9" s="14">
        <f>'Model Comparisons'!G27</f>
        <v>1</v>
      </c>
      <c r="G9" s="6"/>
      <c r="H9" s="32"/>
      <c r="K9" s="5" t="s">
        <v>137</v>
      </c>
    </row>
    <row r="10" spans="1:11" ht="13.5" customHeight="1">
      <c r="A10" s="2" t="s">
        <v>122</v>
      </c>
      <c r="B10" s="15">
        <f>'Model Comparisons'!C28</f>
        <v>500</v>
      </c>
      <c r="C10" s="8">
        <f>C$9*C5*$B10</f>
        <v>40</v>
      </c>
      <c r="D10" s="8">
        <f>D9*D5*$B10</f>
        <v>150.00000000000003</v>
      </c>
      <c r="E10" s="8">
        <f>E9*E5*$B10</f>
        <v>750</v>
      </c>
      <c r="F10" s="8">
        <f>F9*F5*$B10</f>
        <v>500</v>
      </c>
      <c r="G10" s="6">
        <f>SUM(C10:F10)</f>
        <v>1440</v>
      </c>
      <c r="H10" s="32"/>
      <c r="I10" s="17">
        <f>B10</f>
        <v>500</v>
      </c>
      <c r="K10" s="5" t="s">
        <v>33</v>
      </c>
    </row>
    <row r="11" spans="1:9" ht="13.5" customHeight="1">
      <c r="A11" s="2" t="s">
        <v>119</v>
      </c>
      <c r="B11" s="15">
        <f>'Model Comparisons'!C29</f>
        <v>1500</v>
      </c>
      <c r="C11" s="8">
        <f>C6*$B11*C9</f>
        <v>15000</v>
      </c>
      <c r="D11" s="8">
        <f>D6*$B11*D9</f>
        <v>7500</v>
      </c>
      <c r="E11" s="8">
        <f>E6*$B11*E9</f>
        <v>7500</v>
      </c>
      <c r="F11" s="8">
        <f>F6*$B11*F9</f>
        <v>1500</v>
      </c>
      <c r="G11" s="6">
        <f>SUM(C11:F11)</f>
        <v>31500</v>
      </c>
      <c r="H11" s="32"/>
      <c r="I11" s="17">
        <f>B11</f>
        <v>1500</v>
      </c>
    </row>
    <row r="12" spans="1:11" ht="13.5" customHeight="1">
      <c r="A12" s="2"/>
      <c r="B12" s="12"/>
      <c r="C12" s="6"/>
      <c r="D12" s="6"/>
      <c r="E12" s="6"/>
      <c r="F12" s="6"/>
      <c r="G12" s="8"/>
      <c r="H12" s="32"/>
      <c r="K12" s="5" t="s">
        <v>138</v>
      </c>
    </row>
    <row r="13" spans="1:11" ht="13.5" customHeight="1">
      <c r="A13" s="3" t="s">
        <v>110</v>
      </c>
      <c r="B13" s="12"/>
      <c r="C13" s="14">
        <f>'Model Comparisons'!D31</f>
        <v>0.05</v>
      </c>
      <c r="D13" s="14">
        <f>'Model Comparisons'!E31</f>
        <v>0.25</v>
      </c>
      <c r="E13" s="14">
        <f>'Model Comparisons'!F31</f>
        <v>0.75</v>
      </c>
      <c r="F13" s="14">
        <f>'Model Comparisons'!G31</f>
        <v>1</v>
      </c>
      <c r="G13" s="8"/>
      <c r="H13" s="32"/>
      <c r="K13" s="5" t="s">
        <v>139</v>
      </c>
    </row>
    <row r="14" spans="1:11" ht="13.5" customHeight="1">
      <c r="A14" s="2" t="s">
        <v>197</v>
      </c>
      <c r="B14" s="15">
        <f>'Model Comparisons'!C32</f>
        <v>200</v>
      </c>
      <c r="C14" s="9">
        <f>C5*$B14*C13</f>
        <v>40</v>
      </c>
      <c r="D14" s="9">
        <f>D5*$B14*D13</f>
        <v>300</v>
      </c>
      <c r="E14" s="9">
        <f>E5*$B14*E13</f>
        <v>450</v>
      </c>
      <c r="F14" s="9">
        <f>F5*$B14*F13</f>
        <v>200</v>
      </c>
      <c r="G14" s="6">
        <f>SUM(C14:F14)</f>
        <v>990</v>
      </c>
      <c r="H14" s="32"/>
      <c r="I14" s="17">
        <f>B14</f>
        <v>200</v>
      </c>
      <c r="K14" s="5" t="s">
        <v>142</v>
      </c>
    </row>
    <row r="15" spans="1:11" ht="13.5" customHeight="1">
      <c r="A15" s="2" t="s">
        <v>109</v>
      </c>
      <c r="B15" s="15">
        <f>'Model Comparisons'!C33</f>
        <v>500</v>
      </c>
      <c r="C15" s="8">
        <f>C6*$B15*C13</f>
        <v>12500</v>
      </c>
      <c r="D15" s="8">
        <f>D6*$B15*D13</f>
        <v>12500</v>
      </c>
      <c r="E15" s="8">
        <f>E6*$B15*E13</f>
        <v>3750</v>
      </c>
      <c r="F15" s="8">
        <f>F6*$B15*F13</f>
        <v>500</v>
      </c>
      <c r="G15" s="6">
        <f>SUM(C15:F15)</f>
        <v>29250</v>
      </c>
      <c r="H15" s="32"/>
      <c r="I15" s="17">
        <f>B15</f>
        <v>500</v>
      </c>
      <c r="K15" s="5" t="s">
        <v>143</v>
      </c>
    </row>
    <row r="16" spans="1:11" ht="13.5" customHeight="1">
      <c r="A16" s="2"/>
      <c r="B16" s="12"/>
      <c r="C16" s="6"/>
      <c r="D16" s="6"/>
      <c r="E16" s="6"/>
      <c r="F16" s="6"/>
      <c r="G16" s="8"/>
      <c r="H16" s="32"/>
      <c r="K16" s="5" t="s">
        <v>144</v>
      </c>
    </row>
    <row r="17" spans="1:11" ht="13.5" customHeight="1">
      <c r="A17" s="3" t="s">
        <v>111</v>
      </c>
      <c r="B17" s="12"/>
      <c r="C17" s="14">
        <f>'Model Comparisons'!D35</f>
        <v>0.1</v>
      </c>
      <c r="D17" s="14">
        <f>'Model Comparisons'!E35</f>
        <v>0.75</v>
      </c>
      <c r="E17" s="14">
        <f>'Model Comparisons'!F35</f>
        <v>1</v>
      </c>
      <c r="F17" s="14">
        <f>'Model Comparisons'!G35</f>
        <v>1</v>
      </c>
      <c r="G17" s="8"/>
      <c r="H17" s="32"/>
      <c r="K17" s="5" t="s">
        <v>206</v>
      </c>
    </row>
    <row r="18" spans="1:9" ht="13.5" customHeight="1">
      <c r="A18" s="2" t="s">
        <v>197</v>
      </c>
      <c r="B18" s="15">
        <f>'Model Comparisons'!C36</f>
        <v>100</v>
      </c>
      <c r="C18" s="6">
        <f>C5*$B18*C17</f>
        <v>40</v>
      </c>
      <c r="D18" s="6">
        <f>D5*$B18*D17</f>
        <v>450</v>
      </c>
      <c r="E18" s="6">
        <f>E5*$B18*E17</f>
        <v>300</v>
      </c>
      <c r="F18" s="6">
        <f>F5*$B18*F17</f>
        <v>100</v>
      </c>
      <c r="G18" s="6">
        <f>SUM(C18:F18)</f>
        <v>890</v>
      </c>
      <c r="H18" s="32"/>
      <c r="I18" s="17">
        <f>B18</f>
        <v>100</v>
      </c>
    </row>
    <row r="19" spans="1:11" ht="13.5" customHeight="1">
      <c r="A19" s="2" t="s">
        <v>109</v>
      </c>
      <c r="B19" s="15">
        <f>'Model Comparisons'!C37</f>
        <v>250</v>
      </c>
      <c r="C19" s="8">
        <f>C6*$B19*C17</f>
        <v>12500</v>
      </c>
      <c r="D19" s="8">
        <f>D6*$B19*D17</f>
        <v>18750</v>
      </c>
      <c r="E19" s="8">
        <f>E6*$B19*E17</f>
        <v>2500</v>
      </c>
      <c r="F19" s="8">
        <f>F6*$B19*F17</f>
        <v>250</v>
      </c>
      <c r="G19" s="6">
        <f>SUM(C19:F19)</f>
        <v>34000</v>
      </c>
      <c r="H19" s="31"/>
      <c r="I19" s="17">
        <f>B19</f>
        <v>250</v>
      </c>
      <c r="K19" s="5" t="s">
        <v>207</v>
      </c>
    </row>
    <row r="20" spans="1:11" ht="13.5" customHeight="1">
      <c r="A20" s="2"/>
      <c r="B20" s="12"/>
      <c r="C20" s="12"/>
      <c r="D20" s="12"/>
      <c r="E20" s="12"/>
      <c r="F20" s="12"/>
      <c r="G20" s="6"/>
      <c r="H20" s="32"/>
      <c r="K20" s="5" t="s">
        <v>208</v>
      </c>
    </row>
    <row r="21" spans="1:8" ht="13.5" customHeight="1">
      <c r="A21" s="3" t="s">
        <v>121</v>
      </c>
      <c r="B21" s="12"/>
      <c r="C21" s="8"/>
      <c r="D21" s="8"/>
      <c r="E21" s="8"/>
      <c r="F21" s="8"/>
      <c r="G21" s="8"/>
      <c r="H21" s="32"/>
    </row>
    <row r="22" spans="1:11" ht="13.5" customHeight="1">
      <c r="A22" s="2" t="s">
        <v>197</v>
      </c>
      <c r="B22" s="6">
        <f aca="true" t="shared" si="0" ref="B22:F23">B10+B14+B18</f>
        <v>800</v>
      </c>
      <c r="C22" s="8">
        <f t="shared" si="0"/>
        <v>120</v>
      </c>
      <c r="D22" s="8">
        <f t="shared" si="0"/>
        <v>900</v>
      </c>
      <c r="E22" s="8">
        <f t="shared" si="0"/>
        <v>1500</v>
      </c>
      <c r="F22" s="8">
        <f t="shared" si="0"/>
        <v>800</v>
      </c>
      <c r="G22" s="71">
        <f>SUM(C22:F22)</f>
        <v>3320</v>
      </c>
      <c r="H22" s="32"/>
      <c r="I22" s="8">
        <f>I10+I14+I18</f>
        <v>800</v>
      </c>
      <c r="K22" s="38" t="s">
        <v>156</v>
      </c>
    </row>
    <row r="23" spans="1:11" ht="13.5" customHeight="1">
      <c r="A23" s="2" t="s">
        <v>109</v>
      </c>
      <c r="B23" s="6">
        <f t="shared" si="0"/>
        <v>2250</v>
      </c>
      <c r="C23" s="8">
        <f t="shared" si="0"/>
        <v>40000</v>
      </c>
      <c r="D23" s="8">
        <f t="shared" si="0"/>
        <v>38750</v>
      </c>
      <c r="E23" s="8">
        <f t="shared" si="0"/>
        <v>13750</v>
      </c>
      <c r="F23" s="8">
        <f t="shared" si="0"/>
        <v>2250</v>
      </c>
      <c r="G23" s="71">
        <f>SUM(C23:F23)</f>
        <v>94750</v>
      </c>
      <c r="H23" s="33"/>
      <c r="I23" s="8">
        <f>I11+I15+I19</f>
        <v>2250</v>
      </c>
      <c r="K23" s="38"/>
    </row>
    <row r="24" spans="1:11" ht="13.5" customHeight="1">
      <c r="A24" s="29"/>
      <c r="B24" s="30"/>
      <c r="C24" s="30"/>
      <c r="D24" s="30"/>
      <c r="E24" s="30"/>
      <c r="F24" s="30"/>
      <c r="G24" s="30"/>
      <c r="H24" s="34"/>
      <c r="K24" s="38" t="s">
        <v>155</v>
      </c>
    </row>
    <row r="25" spans="1:11" ht="13.5" customHeight="1">
      <c r="A25" s="164" t="s">
        <v>186</v>
      </c>
      <c r="B25" s="164"/>
      <c r="C25" s="164"/>
      <c r="D25" s="164"/>
      <c r="E25" s="9"/>
      <c r="F25" s="9"/>
      <c r="G25" s="9"/>
      <c r="K25" s="38" t="s">
        <v>195</v>
      </c>
    </row>
    <row r="26" spans="1:9" ht="13.5" customHeight="1">
      <c r="A26" s="2" t="s">
        <v>118</v>
      </c>
      <c r="B26" s="9"/>
      <c r="C26" s="8">
        <f aca="true" t="shared" si="1" ref="C26:G27">C5</f>
        <v>4</v>
      </c>
      <c r="D26" s="8">
        <f t="shared" si="1"/>
        <v>6</v>
      </c>
      <c r="E26" s="8">
        <f t="shared" si="1"/>
        <v>3</v>
      </c>
      <c r="F26" s="8">
        <f t="shared" si="1"/>
        <v>1</v>
      </c>
      <c r="G26" s="8">
        <f t="shared" si="1"/>
        <v>14</v>
      </c>
      <c r="I26" s="49">
        <f>I22+G26</f>
        <v>814</v>
      </c>
    </row>
    <row r="27" spans="1:9" ht="13.5" customHeight="1">
      <c r="A27" s="2" t="s">
        <v>119</v>
      </c>
      <c r="B27" s="9"/>
      <c r="C27" s="8">
        <f t="shared" si="1"/>
        <v>500</v>
      </c>
      <c r="D27" s="8">
        <f t="shared" si="1"/>
        <v>100</v>
      </c>
      <c r="E27" s="8">
        <f t="shared" si="1"/>
        <v>10</v>
      </c>
      <c r="F27" s="8">
        <f t="shared" si="1"/>
        <v>1</v>
      </c>
      <c r="G27" s="8">
        <f t="shared" si="1"/>
        <v>611</v>
      </c>
      <c r="I27" s="49">
        <f>I23+G27</f>
        <v>2861</v>
      </c>
    </row>
    <row r="30" spans="1:9" ht="13.5" customHeight="1">
      <c r="A30" s="13" t="s">
        <v>219</v>
      </c>
      <c r="B30"/>
      <c r="C30"/>
      <c r="D30"/>
      <c r="E30"/>
      <c r="F30"/>
      <c r="G30"/>
      <c r="H30"/>
      <c r="I30"/>
    </row>
    <row r="31" spans="1:9" ht="13.5" customHeight="1">
      <c r="A31"/>
      <c r="B31"/>
      <c r="C31"/>
      <c r="D31"/>
      <c r="E31"/>
      <c r="F31"/>
      <c r="G31"/>
      <c r="H31"/>
      <c r="I31"/>
    </row>
    <row r="32" spans="1:9" ht="13.5" customHeight="1">
      <c r="A32" s="6"/>
      <c r="B32" s="4" t="s">
        <v>115</v>
      </c>
      <c r="C32" s="4" t="s">
        <v>108</v>
      </c>
      <c r="D32" s="4" t="s">
        <v>110</v>
      </c>
      <c r="E32" s="4" t="s">
        <v>111</v>
      </c>
      <c r="F32" s="4" t="s">
        <v>261</v>
      </c>
      <c r="G32" s="4" t="s">
        <v>117</v>
      </c>
      <c r="H32" s="6"/>
      <c r="I32" s="10" t="s">
        <v>127</v>
      </c>
    </row>
    <row r="33" spans="1:9" ht="13.5" customHeight="1">
      <c r="A33" s="6"/>
      <c r="B33" s="6"/>
      <c r="C33" s="22"/>
      <c r="D33" s="22"/>
      <c r="E33" s="22"/>
      <c r="F33" s="22"/>
      <c r="G33" s="6"/>
      <c r="H33" s="6"/>
      <c r="I33" s="27" t="s">
        <v>187</v>
      </c>
    </row>
    <row r="34" spans="1:9" ht="13.5" customHeight="1">
      <c r="A34" s="2"/>
      <c r="B34" s="6"/>
      <c r="C34" s="22"/>
      <c r="D34" s="22"/>
      <c r="E34" s="22"/>
      <c r="F34" s="22"/>
      <c r="G34" s="6"/>
      <c r="H34" s="6"/>
      <c r="I34" s="27" t="s">
        <v>188</v>
      </c>
    </row>
    <row r="35" spans="1:9" ht="13.5" customHeight="1">
      <c r="A35" s="2"/>
      <c r="B35" s="9"/>
      <c r="C35" s="6"/>
      <c r="D35" s="6"/>
      <c r="E35" s="6"/>
      <c r="F35" s="6"/>
      <c r="G35" s="6"/>
      <c r="H35" s="6"/>
      <c r="I35" s="27" t="s">
        <v>189</v>
      </c>
    </row>
    <row r="36" spans="1:9" ht="13.5" customHeight="1">
      <c r="A36" s="18" t="s">
        <v>198</v>
      </c>
      <c r="B36" s="9"/>
      <c r="C36" s="12"/>
      <c r="D36" s="12"/>
      <c r="E36" s="12"/>
      <c r="F36" s="12"/>
      <c r="G36" s="6"/>
      <c r="H36" s="6"/>
      <c r="I36" s="12"/>
    </row>
    <row r="37" spans="1:9" ht="13.5" customHeight="1">
      <c r="A37" s="3" t="s">
        <v>108</v>
      </c>
      <c r="B37" s="12"/>
      <c r="C37" s="11"/>
      <c r="D37" s="11"/>
      <c r="E37" s="11"/>
      <c r="F37" s="11"/>
      <c r="G37" s="6"/>
      <c r="H37" s="8"/>
      <c r="I37" s="12"/>
    </row>
    <row r="38" spans="1:9" ht="13.5" customHeight="1">
      <c r="A38" s="2" t="s">
        <v>122</v>
      </c>
      <c r="B38" s="12"/>
      <c r="C38" s="78">
        <f>C10/Subscriptions!$B10</f>
        <v>0.08</v>
      </c>
      <c r="D38" s="78">
        <f>D10/Subscriptions!$B10</f>
        <v>0.30000000000000004</v>
      </c>
      <c r="E38" s="78">
        <f>E10/Subscriptions!$B10</f>
        <v>1.5</v>
      </c>
      <c r="F38" s="78">
        <f>F10/Subscriptions!$B10</f>
        <v>1</v>
      </c>
      <c r="G38" s="79">
        <f>G10/Subscriptions!$B10</f>
        <v>2.88</v>
      </c>
      <c r="H38" s="26"/>
      <c r="I38" s="70">
        <f>I10/Subscriptions!$B10</f>
        <v>1</v>
      </c>
    </row>
    <row r="39" spans="1:9" ht="13.5" customHeight="1">
      <c r="A39" s="2" t="s">
        <v>119</v>
      </c>
      <c r="B39" s="12"/>
      <c r="C39" s="78">
        <f>C11/Subscriptions!$B11</f>
        <v>10</v>
      </c>
      <c r="D39" s="78">
        <f>D11/Subscriptions!$B11</f>
        <v>5</v>
      </c>
      <c r="E39" s="78">
        <f>E11/Subscriptions!$B11</f>
        <v>5</v>
      </c>
      <c r="F39" s="78">
        <f>F11/Subscriptions!$B11</f>
        <v>1</v>
      </c>
      <c r="G39" s="79">
        <f>G11/Subscriptions!$B11</f>
        <v>21</v>
      </c>
      <c r="H39" s="26"/>
      <c r="I39" s="70">
        <f>I11/Subscriptions!$B11</f>
        <v>1</v>
      </c>
    </row>
    <row r="40" spans="1:9" ht="13.5" customHeight="1">
      <c r="A40" s="2"/>
      <c r="B40" s="12"/>
      <c r="C40" s="26"/>
      <c r="D40" s="26"/>
      <c r="E40" s="26"/>
      <c r="F40" s="26"/>
      <c r="G40" s="37"/>
      <c r="H40" s="26"/>
      <c r="I40" s="26"/>
    </row>
    <row r="41" spans="1:9" ht="13.5" customHeight="1">
      <c r="A41" s="3" t="s">
        <v>110</v>
      </c>
      <c r="B41" s="12"/>
      <c r="C41" s="26"/>
      <c r="D41" s="26"/>
      <c r="E41" s="26"/>
      <c r="F41" s="26"/>
      <c r="G41" s="37"/>
      <c r="H41" s="26"/>
      <c r="I41" s="26"/>
    </row>
    <row r="42" spans="1:9" ht="13.5" customHeight="1">
      <c r="A42" s="2" t="s">
        <v>197</v>
      </c>
      <c r="B42" s="6"/>
      <c r="C42" s="78">
        <f>C14/Subscriptions!$B14</f>
        <v>0.2</v>
      </c>
      <c r="D42" s="78">
        <f>D14/Subscriptions!$B14</f>
        <v>1.5</v>
      </c>
      <c r="E42" s="78">
        <f>E14/Subscriptions!$B14</f>
        <v>2.25</v>
      </c>
      <c r="F42" s="78">
        <f>F14/Subscriptions!$B14</f>
        <v>1</v>
      </c>
      <c r="G42" s="79">
        <f>SUM(C42:F42)</f>
        <v>4.95</v>
      </c>
      <c r="H42" s="26"/>
      <c r="I42" s="70">
        <f>I14/Subscriptions!$B14</f>
        <v>1</v>
      </c>
    </row>
    <row r="43" spans="1:9" ht="13.5" customHeight="1">
      <c r="A43" s="2" t="s">
        <v>109</v>
      </c>
      <c r="B43" s="6"/>
      <c r="C43" s="78">
        <f>C15/Subscriptions!$B15</f>
        <v>25</v>
      </c>
      <c r="D43" s="78">
        <f>D15/Subscriptions!$B15</f>
        <v>25</v>
      </c>
      <c r="E43" s="78">
        <f>E15/Subscriptions!$B15</f>
        <v>7.5</v>
      </c>
      <c r="F43" s="78">
        <f>F15/Subscriptions!$B15</f>
        <v>1</v>
      </c>
      <c r="G43" s="79">
        <f>SUM(C43:F43)</f>
        <v>58.5</v>
      </c>
      <c r="H43" s="26"/>
      <c r="I43" s="70">
        <f>I15/Subscriptions!$B15</f>
        <v>1</v>
      </c>
    </row>
    <row r="44" spans="1:9" ht="13.5" customHeight="1">
      <c r="A44" s="2"/>
      <c r="B44" s="12"/>
      <c r="C44" s="26"/>
      <c r="D44" s="26"/>
      <c r="E44" s="26"/>
      <c r="F44" s="26"/>
      <c r="G44" s="37"/>
      <c r="H44" s="26"/>
      <c r="I44" s="26"/>
    </row>
    <row r="45" spans="1:9" ht="13.5" customHeight="1">
      <c r="A45" s="3" t="s">
        <v>111</v>
      </c>
      <c r="B45" s="12"/>
      <c r="C45" s="26"/>
      <c r="D45" s="26"/>
      <c r="E45" s="26"/>
      <c r="F45" s="26"/>
      <c r="G45" s="37"/>
      <c r="H45" s="26"/>
      <c r="I45" s="26"/>
    </row>
    <row r="46" spans="1:9" ht="13.5" customHeight="1">
      <c r="A46" s="2" t="s">
        <v>197</v>
      </c>
      <c r="B46" s="6"/>
      <c r="C46" s="78">
        <f>C18/Subscriptions!$B18</f>
        <v>0.4</v>
      </c>
      <c r="D46" s="78">
        <f>D18/Subscriptions!$B18</f>
        <v>4.5</v>
      </c>
      <c r="E46" s="78">
        <f>E18/Subscriptions!$B18</f>
        <v>3</v>
      </c>
      <c r="F46" s="78">
        <f>F18/Subscriptions!$B18</f>
        <v>1</v>
      </c>
      <c r="G46" s="79">
        <f>SUM(C46:F46)</f>
        <v>8.9</v>
      </c>
      <c r="H46" s="26"/>
      <c r="I46" s="70">
        <f>I18/Subscriptions!$B18</f>
        <v>1</v>
      </c>
    </row>
    <row r="47" spans="1:9" ht="13.5" customHeight="1">
      <c r="A47" s="2" t="s">
        <v>109</v>
      </c>
      <c r="B47" s="6"/>
      <c r="C47" s="78">
        <f>C19/Subscriptions!$B19</f>
        <v>50</v>
      </c>
      <c r="D47" s="78">
        <f>D19/Subscriptions!$B19</f>
        <v>75</v>
      </c>
      <c r="E47" s="78">
        <f>E19/Subscriptions!$B19</f>
        <v>10</v>
      </c>
      <c r="F47" s="78">
        <f>F19/Subscriptions!$B19</f>
        <v>1</v>
      </c>
      <c r="G47" s="79">
        <f>SUM(C47:F47)</f>
        <v>136</v>
      </c>
      <c r="H47" s="26"/>
      <c r="I47" s="70">
        <f>I19/Subscriptions!$B19</f>
        <v>1</v>
      </c>
    </row>
    <row r="48" spans="1:9" ht="13.5" customHeight="1">
      <c r="A48" s="2"/>
      <c r="B48" s="12"/>
      <c r="C48" s="26"/>
      <c r="D48" s="26"/>
      <c r="E48" s="26"/>
      <c r="F48" s="26"/>
      <c r="G48" s="26"/>
      <c r="H48" s="26"/>
      <c r="I48" s="26"/>
    </row>
    <row r="49" spans="1:9" ht="13.5" customHeight="1">
      <c r="A49" s="3" t="s">
        <v>121</v>
      </c>
      <c r="B49" s="12"/>
      <c r="C49" s="26"/>
      <c r="D49" s="26"/>
      <c r="E49" s="26"/>
      <c r="F49" s="26"/>
      <c r="G49" s="26"/>
      <c r="H49" s="26"/>
      <c r="I49" s="26"/>
    </row>
    <row r="50" spans="1:9" ht="13.5" customHeight="1">
      <c r="A50" s="2" t="s">
        <v>197</v>
      </c>
      <c r="B50" s="6"/>
      <c r="C50" s="26"/>
      <c r="D50" s="26"/>
      <c r="E50" s="26"/>
      <c r="F50" s="26"/>
      <c r="G50" s="26"/>
      <c r="H50" s="26"/>
      <c r="I50" s="26"/>
    </row>
    <row r="51" spans="1:9" ht="13.5" customHeight="1">
      <c r="A51" s="2" t="s">
        <v>109</v>
      </c>
      <c r="B51" s="6"/>
      <c r="C51" s="26"/>
      <c r="D51" s="26"/>
      <c r="E51" s="26"/>
      <c r="F51" s="26"/>
      <c r="G51" s="26"/>
      <c r="H51" s="26"/>
      <c r="I51" s="26"/>
    </row>
    <row r="52" spans="1:9" ht="13.5" customHeight="1">
      <c r="A52" s="2"/>
      <c r="B52" s="12"/>
      <c r="C52" s="26"/>
      <c r="D52" s="26"/>
      <c r="E52" s="26"/>
      <c r="F52" s="26"/>
      <c r="G52" s="26"/>
      <c r="H52" s="26"/>
      <c r="I52" s="26"/>
    </row>
    <row r="53" spans="1:9" ht="13.5" customHeight="1">
      <c r="A53" s="3" t="s">
        <v>120</v>
      </c>
      <c r="B53" s="12"/>
      <c r="C53" s="26"/>
      <c r="D53" s="26"/>
      <c r="E53" s="26"/>
      <c r="F53" s="26"/>
      <c r="G53" s="26"/>
      <c r="H53" s="26"/>
      <c r="I53" s="26"/>
    </row>
    <row r="54" spans="1:9" ht="13.5" customHeight="1">
      <c r="A54" s="2" t="s">
        <v>118</v>
      </c>
      <c r="B54" s="6"/>
      <c r="C54" s="26"/>
      <c r="D54" s="26"/>
      <c r="E54" s="26"/>
      <c r="F54" s="26"/>
      <c r="G54" s="26"/>
      <c r="H54" s="26"/>
      <c r="I54" s="26"/>
    </row>
    <row r="55" spans="1:9" ht="13.5" customHeight="1">
      <c r="A55" s="2" t="s">
        <v>119</v>
      </c>
      <c r="B55" s="6"/>
      <c r="C55" s="26"/>
      <c r="D55" s="26"/>
      <c r="E55" s="26"/>
      <c r="F55" s="26"/>
      <c r="G55" s="26"/>
      <c r="H55" s="26"/>
      <c r="I55" s="26"/>
    </row>
    <row r="56" spans="1:9" ht="13.5" customHeight="1">
      <c r="A56"/>
      <c r="B56"/>
      <c r="C56"/>
      <c r="D56"/>
      <c r="E56"/>
      <c r="F56"/>
      <c r="G56"/>
      <c r="H56"/>
      <c r="I56"/>
    </row>
    <row r="57" spans="1:9" ht="13.5" customHeight="1">
      <c r="A57"/>
      <c r="B57"/>
      <c r="C57"/>
      <c r="D57"/>
      <c r="E57"/>
      <c r="F57"/>
      <c r="G57"/>
      <c r="H57"/>
      <c r="I57"/>
    </row>
    <row r="58" spans="1:9" ht="13.5" customHeight="1">
      <c r="A58" s="13" t="s">
        <v>220</v>
      </c>
      <c r="B58"/>
      <c r="C58"/>
      <c r="D58"/>
      <c r="E58"/>
      <c r="F58"/>
      <c r="G58"/>
      <c r="H58"/>
      <c r="I58"/>
    </row>
    <row r="59" spans="1:9" ht="13.5" customHeight="1">
      <c r="A59"/>
      <c r="B59"/>
      <c r="C59"/>
      <c r="D59"/>
      <c r="E59"/>
      <c r="F59"/>
      <c r="G59"/>
      <c r="H59"/>
      <c r="I59"/>
    </row>
    <row r="60" spans="1:9" ht="13.5" customHeight="1">
      <c r="A60" s="6"/>
      <c r="B60" s="4" t="s">
        <v>115</v>
      </c>
      <c r="C60" s="4" t="s">
        <v>108</v>
      </c>
      <c r="D60" s="4" t="s">
        <v>110</v>
      </c>
      <c r="E60" s="4" t="s">
        <v>111</v>
      </c>
      <c r="F60" s="4" t="s">
        <v>261</v>
      </c>
      <c r="G60" s="4" t="s">
        <v>117</v>
      </c>
      <c r="H60" s="6"/>
      <c r="I60" s="10" t="s">
        <v>127</v>
      </c>
    </row>
    <row r="61" spans="1:9" ht="13.5" customHeight="1">
      <c r="A61" s="6"/>
      <c r="B61" s="6"/>
      <c r="C61" s="22"/>
      <c r="D61" s="22"/>
      <c r="E61" s="22"/>
      <c r="F61" s="22"/>
      <c r="G61" s="6"/>
      <c r="H61" s="6"/>
      <c r="I61" s="27" t="s">
        <v>187</v>
      </c>
    </row>
    <row r="62" spans="1:9" ht="13.5" customHeight="1">
      <c r="A62" s="2"/>
      <c r="B62" s="6"/>
      <c r="C62" s="22"/>
      <c r="D62" s="22"/>
      <c r="E62" s="22"/>
      <c r="F62" s="22"/>
      <c r="G62" s="6"/>
      <c r="H62" s="6"/>
      <c r="I62" s="27" t="s">
        <v>188</v>
      </c>
    </row>
    <row r="63" spans="1:9" ht="13.5" customHeight="1">
      <c r="A63" s="2"/>
      <c r="B63" s="9"/>
      <c r="C63" s="6"/>
      <c r="D63" s="6"/>
      <c r="E63" s="6"/>
      <c r="F63" s="6"/>
      <c r="G63" s="6"/>
      <c r="H63" s="6"/>
      <c r="I63" s="27" t="s">
        <v>189</v>
      </c>
    </row>
    <row r="64" spans="1:9" ht="13.5" customHeight="1">
      <c r="A64" s="18" t="s">
        <v>198</v>
      </c>
      <c r="B64" s="9"/>
      <c r="C64" s="12"/>
      <c r="D64" s="12"/>
      <c r="E64" s="12"/>
      <c r="F64" s="12"/>
      <c r="G64" s="6"/>
      <c r="H64" s="6"/>
      <c r="I64" s="12"/>
    </row>
    <row r="65" spans="1:9" ht="13.5" customHeight="1">
      <c r="A65" s="3" t="s">
        <v>108</v>
      </c>
      <c r="B65" s="12"/>
      <c r="C65" s="11"/>
      <c r="D65" s="11"/>
      <c r="E65" s="11"/>
      <c r="F65" s="11"/>
      <c r="G65" s="6"/>
      <c r="H65" s="8"/>
      <c r="I65" s="12"/>
    </row>
    <row r="66" spans="1:9" ht="13.5" customHeight="1">
      <c r="A66" s="2" t="s">
        <v>122</v>
      </c>
      <c r="B66" s="12"/>
      <c r="C66" s="78">
        <f>C10/Subscriptions!C$5</f>
        <v>10</v>
      </c>
      <c r="D66" s="78">
        <f>D10/Subscriptions!D$5</f>
        <v>25.000000000000004</v>
      </c>
      <c r="E66" s="78">
        <f>E10/Subscriptions!E$5</f>
        <v>250</v>
      </c>
      <c r="F66" s="78">
        <f>F10/Subscriptions!F$5</f>
        <v>500</v>
      </c>
      <c r="G66" s="26"/>
      <c r="H66" s="26"/>
      <c r="I66" s="26"/>
    </row>
    <row r="67" spans="1:9" ht="13.5" customHeight="1">
      <c r="A67" s="2" t="s">
        <v>119</v>
      </c>
      <c r="B67" s="12"/>
      <c r="C67" s="78">
        <f>C11/Subscriptions!C$6</f>
        <v>30</v>
      </c>
      <c r="D67" s="78">
        <f>D11/Subscriptions!D$6</f>
        <v>75</v>
      </c>
      <c r="E67" s="78">
        <f>E11/Subscriptions!E$6</f>
        <v>750</v>
      </c>
      <c r="F67" s="78">
        <f>F11/Subscriptions!F$6</f>
        <v>1500</v>
      </c>
      <c r="G67" s="26"/>
      <c r="H67" s="26"/>
      <c r="I67" s="26"/>
    </row>
    <row r="68" spans="1:9" ht="13.5" customHeight="1">
      <c r="A68" s="2"/>
      <c r="B68" s="12"/>
      <c r="C68" s="78"/>
      <c r="D68" s="78"/>
      <c r="E68" s="78"/>
      <c r="F68" s="78"/>
      <c r="G68" s="26"/>
      <c r="H68" s="26"/>
      <c r="I68" s="26"/>
    </row>
    <row r="69" spans="1:9" ht="13.5" customHeight="1">
      <c r="A69" s="3" t="s">
        <v>110</v>
      </c>
      <c r="B69" s="12"/>
      <c r="C69" s="78"/>
      <c r="D69" s="78"/>
      <c r="E69" s="78"/>
      <c r="F69" s="78"/>
      <c r="G69" s="26"/>
      <c r="H69" s="26"/>
      <c r="I69" s="26"/>
    </row>
    <row r="70" spans="1:9" ht="13.5" customHeight="1">
      <c r="A70" s="2" t="s">
        <v>197</v>
      </c>
      <c r="B70" s="6"/>
      <c r="C70" s="78">
        <f>C14/Subscriptions!C$5</f>
        <v>10</v>
      </c>
      <c r="D70" s="78">
        <f>D14/Subscriptions!D$5</f>
        <v>50</v>
      </c>
      <c r="E70" s="78">
        <f>E14/Subscriptions!E$5</f>
        <v>150</v>
      </c>
      <c r="F70" s="78">
        <f>F14/Subscriptions!F$5</f>
        <v>200</v>
      </c>
      <c r="G70" s="26"/>
      <c r="H70" s="26"/>
      <c r="I70" s="26"/>
    </row>
    <row r="71" spans="1:9" ht="13.5" customHeight="1">
      <c r="A71" s="2" t="s">
        <v>109</v>
      </c>
      <c r="B71" s="6"/>
      <c r="C71" s="78">
        <f>C15/Subscriptions!C$6</f>
        <v>25</v>
      </c>
      <c r="D71" s="78">
        <f>D15/Subscriptions!D$6</f>
        <v>125</v>
      </c>
      <c r="E71" s="78">
        <f>E15/Subscriptions!E$6</f>
        <v>375</v>
      </c>
      <c r="F71" s="78">
        <f>F15/Subscriptions!F$6</f>
        <v>500</v>
      </c>
      <c r="G71" s="26"/>
      <c r="H71" s="26"/>
      <c r="I71" s="26"/>
    </row>
    <row r="72" spans="1:9" ht="13.5" customHeight="1">
      <c r="A72" s="2"/>
      <c r="B72" s="12"/>
      <c r="C72" s="78"/>
      <c r="D72" s="78"/>
      <c r="E72" s="78"/>
      <c r="F72" s="78"/>
      <c r="G72" s="26"/>
      <c r="H72" s="26"/>
      <c r="I72" s="26"/>
    </row>
    <row r="73" spans="1:9" ht="13.5" customHeight="1">
      <c r="A73" s="3" t="s">
        <v>111</v>
      </c>
      <c r="B73" s="12"/>
      <c r="C73" s="78"/>
      <c r="D73" s="78"/>
      <c r="E73" s="78"/>
      <c r="F73" s="78"/>
      <c r="G73" s="26"/>
      <c r="H73" s="26"/>
      <c r="I73" s="26"/>
    </row>
    <row r="74" spans="1:9" ht="13.5" customHeight="1">
      <c r="A74" s="2" t="s">
        <v>197</v>
      </c>
      <c r="B74" s="6"/>
      <c r="C74" s="78">
        <f>C18/Subscriptions!C$5</f>
        <v>10</v>
      </c>
      <c r="D74" s="78">
        <f>D18/Subscriptions!D$5</f>
        <v>75</v>
      </c>
      <c r="E74" s="78">
        <f>E18/Subscriptions!E$5</f>
        <v>100</v>
      </c>
      <c r="F74" s="78">
        <f>F18/Subscriptions!F$5</f>
        <v>100</v>
      </c>
      <c r="G74" s="26"/>
      <c r="H74" s="26"/>
      <c r="I74" s="26"/>
    </row>
    <row r="75" spans="1:9" ht="13.5" customHeight="1">
      <c r="A75" s="2" t="s">
        <v>109</v>
      </c>
      <c r="B75" s="6"/>
      <c r="C75" s="78">
        <f>C19/Subscriptions!C$6</f>
        <v>25</v>
      </c>
      <c r="D75" s="78">
        <f>D19/Subscriptions!D$6</f>
        <v>187.5</v>
      </c>
      <c r="E75" s="78">
        <f>E19/Subscriptions!E$6</f>
        <v>250</v>
      </c>
      <c r="F75" s="78">
        <f>F19/Subscriptions!F$6</f>
        <v>250</v>
      </c>
      <c r="G75" s="26"/>
      <c r="H75" s="26"/>
      <c r="I75" s="26"/>
    </row>
    <row r="76" spans="1:9" ht="13.5" customHeight="1">
      <c r="A76" s="2"/>
      <c r="B76" s="12"/>
      <c r="C76" s="78"/>
      <c r="D76" s="78"/>
      <c r="E76" s="78"/>
      <c r="F76" s="78"/>
      <c r="G76" s="26"/>
      <c r="H76" s="26"/>
      <c r="I76" s="26"/>
    </row>
    <row r="77" spans="1:9" ht="13.5" customHeight="1">
      <c r="A77" s="3" t="s">
        <v>121</v>
      </c>
      <c r="B77" s="12"/>
      <c r="C77" s="78"/>
      <c r="D77" s="78"/>
      <c r="E77" s="78"/>
      <c r="F77" s="78"/>
      <c r="G77" s="26"/>
      <c r="H77" s="26"/>
      <c r="I77" s="26"/>
    </row>
    <row r="78" spans="1:9" ht="13.5" customHeight="1">
      <c r="A78" s="2" t="s">
        <v>197</v>
      </c>
      <c r="B78" s="6"/>
      <c r="C78" s="79">
        <f>C66+C70+C74</f>
        <v>30</v>
      </c>
      <c r="D78" s="79">
        <f aca="true" t="shared" si="2" ref="D78:F79">D66+D70+D74</f>
        <v>150</v>
      </c>
      <c r="E78" s="79">
        <f t="shared" si="2"/>
        <v>500</v>
      </c>
      <c r="F78" s="79">
        <f t="shared" si="2"/>
        <v>800</v>
      </c>
      <c r="G78" s="26"/>
      <c r="H78" s="26"/>
      <c r="I78" s="26"/>
    </row>
    <row r="79" spans="1:9" ht="13.5" customHeight="1">
      <c r="A79" s="2" t="s">
        <v>109</v>
      </c>
      <c r="B79" s="6"/>
      <c r="C79" s="79">
        <f>C67+C71+C75</f>
        <v>80</v>
      </c>
      <c r="D79" s="79">
        <f t="shared" si="2"/>
        <v>387.5</v>
      </c>
      <c r="E79" s="79">
        <f t="shared" si="2"/>
        <v>1375</v>
      </c>
      <c r="F79" s="79">
        <f t="shared" si="2"/>
        <v>2250</v>
      </c>
      <c r="G79" s="26"/>
      <c r="H79" s="26"/>
      <c r="I79" s="26"/>
    </row>
    <row r="80" spans="1:9" ht="13.5" customHeight="1">
      <c r="A80" s="2"/>
      <c r="B80" s="12"/>
      <c r="C80" s="78"/>
      <c r="D80" s="78"/>
      <c r="E80" s="78"/>
      <c r="F80" s="78"/>
      <c r="G80" s="26"/>
      <c r="H80" s="26"/>
      <c r="I80" s="26"/>
    </row>
    <row r="81" spans="1:9" ht="13.5" customHeight="1">
      <c r="A81" s="3" t="s">
        <v>120</v>
      </c>
      <c r="B81" s="12"/>
      <c r="C81" s="78"/>
      <c r="D81" s="78"/>
      <c r="E81" s="78"/>
      <c r="F81" s="78"/>
      <c r="G81" s="26"/>
      <c r="H81" s="26"/>
      <c r="I81" s="26"/>
    </row>
    <row r="82" spans="1:9" ht="13.5" customHeight="1">
      <c r="A82" s="2" t="s">
        <v>118</v>
      </c>
      <c r="B82" s="6"/>
      <c r="C82" s="70">
        <f>C26/Subscriptions!C$5</f>
        <v>1</v>
      </c>
      <c r="D82" s="70">
        <f>D26/Subscriptions!D$5</f>
        <v>1</v>
      </c>
      <c r="E82" s="70">
        <f>E26/Subscriptions!E$5</f>
        <v>1</v>
      </c>
      <c r="F82" s="70">
        <f>F26/Subscriptions!F$5</f>
        <v>1</v>
      </c>
      <c r="G82" s="26"/>
      <c r="H82" s="26"/>
      <c r="I82" s="26"/>
    </row>
    <row r="83" spans="1:9" ht="13.5" customHeight="1">
      <c r="A83" s="2" t="s">
        <v>119</v>
      </c>
      <c r="B83" s="6"/>
      <c r="C83" s="70">
        <f>C27/Subscriptions!C$6</f>
        <v>1</v>
      </c>
      <c r="D83" s="70">
        <f>D27/Subscriptions!D$6</f>
        <v>1</v>
      </c>
      <c r="E83" s="70">
        <f>E27/Subscriptions!E$6</f>
        <v>1</v>
      </c>
      <c r="F83" s="70">
        <f>F27/Subscriptions!F$6</f>
        <v>1</v>
      </c>
      <c r="G83" s="26"/>
      <c r="H83" s="26"/>
      <c r="I83" s="26"/>
    </row>
    <row r="84" spans="1:9" ht="13.5" customHeight="1">
      <c r="A84"/>
      <c r="B84"/>
      <c r="C84"/>
      <c r="D84"/>
      <c r="E84"/>
      <c r="F84"/>
      <c r="G84"/>
      <c r="H84"/>
      <c r="I84"/>
    </row>
    <row r="85" spans="1:9" ht="13.5" customHeight="1">
      <c r="A85"/>
      <c r="B85"/>
      <c r="C85"/>
      <c r="D85"/>
      <c r="E85"/>
      <c r="F85"/>
      <c r="G85"/>
      <c r="H85"/>
      <c r="I85"/>
    </row>
  </sheetData>
  <sheetProtection/>
  <mergeCells count="3">
    <mergeCell ref="A1:I1"/>
    <mergeCell ref="A2:H2"/>
    <mergeCell ref="A25:D25"/>
  </mergeCells>
  <printOptions/>
  <pageMargins left="0.75" right="0.75" top="1" bottom="1" header="0.5" footer="0.5"/>
  <pageSetup orientation="landscape"/>
</worksheet>
</file>

<file path=xl/worksheets/sheet5.xml><?xml version="1.0" encoding="utf-8"?>
<worksheet xmlns="http://schemas.openxmlformats.org/spreadsheetml/2006/main" xmlns:r="http://schemas.openxmlformats.org/officeDocument/2006/relationships">
  <dimension ref="A1:M83"/>
  <sheetViews>
    <sheetView zoomScale="125" zoomScaleNormal="125" zoomScalePageLayoutView="0" workbookViewId="0" topLeftCell="A1">
      <selection activeCell="C10" sqref="C10"/>
    </sheetView>
  </sheetViews>
  <sheetFormatPr defaultColWidth="12.00390625" defaultRowHeight="13.5" customHeight="1"/>
  <cols>
    <col min="1" max="9" width="12.00390625" style="0" customWidth="1"/>
    <col min="10" max="10" width="2.28125" style="52" customWidth="1"/>
    <col min="11" max="11" width="12.00390625" style="0" customWidth="1"/>
    <col min="12" max="12" width="13.421875" style="0" customWidth="1"/>
  </cols>
  <sheetData>
    <row r="1" spans="1:9" ht="13.5" customHeight="1">
      <c r="A1" s="162" t="s">
        <v>255</v>
      </c>
      <c r="B1" s="162"/>
      <c r="C1" s="162"/>
      <c r="D1" s="162"/>
      <c r="E1" s="162"/>
      <c r="F1" s="162"/>
      <c r="G1" s="162"/>
      <c r="H1" s="162"/>
      <c r="I1" s="162"/>
    </row>
    <row r="2" spans="1:11" ht="13.5" customHeight="1">
      <c r="A2" s="163" t="s">
        <v>185</v>
      </c>
      <c r="B2" s="163"/>
      <c r="C2" s="163"/>
      <c r="D2" s="163"/>
      <c r="E2" s="163"/>
      <c r="F2" s="163"/>
      <c r="G2" s="163"/>
      <c r="H2" s="163"/>
      <c r="I2" s="163"/>
      <c r="K2" t="s">
        <v>15</v>
      </c>
    </row>
    <row r="3" spans="1:11" ht="13.5" customHeight="1">
      <c r="A3" s="5"/>
      <c r="B3" s="5"/>
      <c r="C3" s="5"/>
      <c r="D3" s="5"/>
      <c r="E3" s="5"/>
      <c r="F3" s="5"/>
      <c r="G3" s="5"/>
      <c r="H3" s="5"/>
      <c r="I3" s="9"/>
      <c r="K3" t="s">
        <v>251</v>
      </c>
    </row>
    <row r="4" spans="1:11" ht="13.5" customHeight="1">
      <c r="A4" s="6"/>
      <c r="B4" s="4" t="s">
        <v>112</v>
      </c>
      <c r="C4" s="4" t="s">
        <v>108</v>
      </c>
      <c r="D4" s="4" t="s">
        <v>110</v>
      </c>
      <c r="E4" s="4" t="s">
        <v>111</v>
      </c>
      <c r="F4" s="4" t="s">
        <v>261</v>
      </c>
      <c r="G4" s="4" t="s">
        <v>117</v>
      </c>
      <c r="H4" s="6"/>
      <c r="I4" s="10" t="s">
        <v>127</v>
      </c>
      <c r="K4" t="s">
        <v>82</v>
      </c>
    </row>
    <row r="5" spans="1:11" ht="13.5" customHeight="1">
      <c r="A5" s="6"/>
      <c r="B5" s="6" t="s">
        <v>197</v>
      </c>
      <c r="C5" s="6"/>
      <c r="D5" s="6"/>
      <c r="E5" s="6"/>
      <c r="F5" s="6"/>
      <c r="G5" s="6"/>
      <c r="H5" s="6"/>
      <c r="I5" s="27" t="s">
        <v>187</v>
      </c>
      <c r="K5" t="s">
        <v>16</v>
      </c>
    </row>
    <row r="6" spans="1:11" ht="13.5" customHeight="1">
      <c r="A6" s="2"/>
      <c r="B6" s="6" t="s">
        <v>109</v>
      </c>
      <c r="C6" s="6"/>
      <c r="D6" s="6"/>
      <c r="E6" s="6"/>
      <c r="F6" s="6"/>
      <c r="G6" s="6"/>
      <c r="H6" s="6"/>
      <c r="I6" s="27" t="s">
        <v>188</v>
      </c>
      <c r="K6" t="s">
        <v>81</v>
      </c>
    </row>
    <row r="7" spans="1:9" ht="13.5" customHeight="1">
      <c r="A7" s="2"/>
      <c r="B7" s="9"/>
      <c r="C7" s="6"/>
      <c r="D7" s="6"/>
      <c r="E7" s="6"/>
      <c r="F7" s="6"/>
      <c r="G7" s="6"/>
      <c r="H7" s="6"/>
      <c r="I7" s="27" t="s">
        <v>189</v>
      </c>
    </row>
    <row r="8" spans="1:13" ht="13.5" customHeight="1">
      <c r="A8" s="3" t="s">
        <v>260</v>
      </c>
      <c r="B8" s="9"/>
      <c r="C8" s="9"/>
      <c r="D8" s="9"/>
      <c r="E8" s="9"/>
      <c r="F8" s="9"/>
      <c r="G8" s="6"/>
      <c r="H8" s="6"/>
      <c r="I8" s="12"/>
      <c r="M8" t="s">
        <v>252</v>
      </c>
    </row>
    <row r="9" spans="1:13" ht="13.5" customHeight="1">
      <c r="A9" s="3" t="s">
        <v>108</v>
      </c>
      <c r="B9" s="9"/>
      <c r="C9" s="11"/>
      <c r="D9" s="11"/>
      <c r="E9" s="11"/>
      <c r="F9" s="11"/>
      <c r="G9" s="6"/>
      <c r="H9" s="8"/>
      <c r="I9" s="12"/>
      <c r="K9" s="38" t="s">
        <v>217</v>
      </c>
      <c r="M9" t="s">
        <v>234</v>
      </c>
    </row>
    <row r="10" spans="1:13" ht="13.5" customHeight="1">
      <c r="A10" s="2" t="s">
        <v>122</v>
      </c>
      <c r="B10" s="9"/>
      <c r="C10" s="25">
        <f>$M$22*Subscriptions!C10</f>
        <v>2000</v>
      </c>
      <c r="D10" s="25">
        <f>$M$22*Subscriptions!D10</f>
        <v>7500.000000000002</v>
      </c>
      <c r="E10" s="25">
        <f>$M$22*Subscriptions!E10</f>
        <v>37500</v>
      </c>
      <c r="F10" s="25">
        <f>$M$22*Subscriptions!F10</f>
        <v>25000</v>
      </c>
      <c r="G10" s="26">
        <f>SUM(C10:F10)</f>
        <v>72000</v>
      </c>
      <c r="H10" s="32"/>
      <c r="I10" s="25">
        <f>$M$22*2*Subscriptions!I10</f>
        <v>50000</v>
      </c>
      <c r="K10" t="s">
        <v>212</v>
      </c>
      <c r="M10">
        <f>'Model Comparisons'!C46</f>
        <v>0.2</v>
      </c>
    </row>
    <row r="11" spans="1:13" ht="13.5" customHeight="1">
      <c r="A11" s="2" t="s">
        <v>119</v>
      </c>
      <c r="B11" s="9"/>
      <c r="C11" s="25">
        <f>$M$22*Subscriptions!C11</f>
        <v>750000</v>
      </c>
      <c r="D11" s="25">
        <f>$M$22*Subscriptions!D11</f>
        <v>375000</v>
      </c>
      <c r="E11" s="25">
        <f>$M$22*Subscriptions!E11</f>
        <v>375000</v>
      </c>
      <c r="F11" s="25">
        <f>$M$22*Subscriptions!F11</f>
        <v>75000</v>
      </c>
      <c r="G11" s="26">
        <f>SUM(C11:F11)</f>
        <v>1575000</v>
      </c>
      <c r="H11" s="32"/>
      <c r="I11" s="25">
        <f>$M$22*2*Subscriptions!I11</f>
        <v>150000</v>
      </c>
      <c r="K11" t="s">
        <v>213</v>
      </c>
      <c r="M11">
        <f>'Model Comparisons'!C47</f>
        <v>0.2</v>
      </c>
    </row>
    <row r="12" spans="1:13" ht="13.5" customHeight="1">
      <c r="A12" s="2"/>
      <c r="B12" s="9"/>
      <c r="C12" s="6"/>
      <c r="D12" s="6"/>
      <c r="E12" s="6"/>
      <c r="F12" s="6"/>
      <c r="G12" s="26"/>
      <c r="H12" s="32"/>
      <c r="I12" s="28"/>
      <c r="K12" t="s">
        <v>214</v>
      </c>
      <c r="M12">
        <f>'Model Comparisons'!C48</f>
        <v>0.2</v>
      </c>
    </row>
    <row r="13" spans="1:13" ht="13.5" customHeight="1">
      <c r="A13" s="3" t="s">
        <v>110</v>
      </c>
      <c r="B13" s="9"/>
      <c r="C13" s="11"/>
      <c r="D13" s="11"/>
      <c r="E13" s="11"/>
      <c r="F13" s="11"/>
      <c r="G13" s="26"/>
      <c r="H13" s="32"/>
      <c r="I13" s="28"/>
      <c r="K13" t="s">
        <v>215</v>
      </c>
      <c r="M13">
        <f>'Model Comparisons'!C49</f>
        <v>0.2</v>
      </c>
    </row>
    <row r="14" spans="1:13" ht="13.5" customHeight="1">
      <c r="A14" s="2" t="s">
        <v>197</v>
      </c>
      <c r="B14" s="9"/>
      <c r="C14" s="25">
        <f>$M$22*Subscriptions!C14</f>
        <v>2000</v>
      </c>
      <c r="D14" s="25">
        <f>$M$22*Subscriptions!D14</f>
        <v>15000</v>
      </c>
      <c r="E14" s="25">
        <f>$M$22*Subscriptions!E14</f>
        <v>22500</v>
      </c>
      <c r="F14" s="25">
        <f>$M$22*Subscriptions!F14</f>
        <v>10000</v>
      </c>
      <c r="G14" s="26">
        <f>SUM(C14:F14)</f>
        <v>49500</v>
      </c>
      <c r="H14" s="32"/>
      <c r="I14" s="25">
        <f>$M$22*2*Subscriptions!I14</f>
        <v>20000</v>
      </c>
      <c r="K14" t="s">
        <v>216</v>
      </c>
      <c r="M14">
        <f>'Model Comparisons'!C50</f>
        <v>0.2</v>
      </c>
    </row>
    <row r="15" spans="1:11" ht="13.5" customHeight="1">
      <c r="A15" s="2" t="s">
        <v>109</v>
      </c>
      <c r="B15" s="9"/>
      <c r="C15" s="25">
        <f>$M$22*Subscriptions!C15</f>
        <v>625000</v>
      </c>
      <c r="D15" s="25">
        <f>$M$22*Subscriptions!D15</f>
        <v>625000</v>
      </c>
      <c r="E15" s="25">
        <f>$M$22*Subscriptions!E15</f>
        <v>187500</v>
      </c>
      <c r="F15" s="25">
        <f>$M$22*Subscriptions!F15</f>
        <v>25000</v>
      </c>
      <c r="G15" s="26">
        <f>SUM(C15:F15)</f>
        <v>1462500</v>
      </c>
      <c r="H15" s="32"/>
      <c r="I15" s="25">
        <f>$M$22*2*Subscriptions!I15</f>
        <v>50000</v>
      </c>
      <c r="K15" t="s">
        <v>231</v>
      </c>
    </row>
    <row r="16" spans="1:13" ht="13.5" customHeight="1">
      <c r="A16" s="2"/>
      <c r="B16" s="9"/>
      <c r="C16" s="6"/>
      <c r="D16" s="6"/>
      <c r="E16" s="6"/>
      <c r="F16" s="6"/>
      <c r="G16" s="26"/>
      <c r="H16" s="32"/>
      <c r="I16" s="28"/>
      <c r="K16" t="s">
        <v>233</v>
      </c>
      <c r="M16">
        <f>SUM(M10:M14)</f>
        <v>1</v>
      </c>
    </row>
    <row r="17" spans="1:9" ht="13.5" customHeight="1">
      <c r="A17" s="3" t="s">
        <v>111</v>
      </c>
      <c r="B17" s="9"/>
      <c r="C17" s="11"/>
      <c r="D17" s="11"/>
      <c r="E17" s="11"/>
      <c r="F17" s="11"/>
      <c r="G17" s="26"/>
      <c r="H17" s="32"/>
      <c r="I17" s="28"/>
    </row>
    <row r="18" spans="1:9" ht="13.5" customHeight="1">
      <c r="A18" s="2" t="s">
        <v>197</v>
      </c>
      <c r="B18" s="9"/>
      <c r="C18" s="25">
        <f>$M$22*Subscriptions!C18</f>
        <v>2000</v>
      </c>
      <c r="D18" s="25">
        <f>$M$22*Subscriptions!D18</f>
        <v>22500</v>
      </c>
      <c r="E18" s="25">
        <f>$M$22*Subscriptions!E18</f>
        <v>15000</v>
      </c>
      <c r="F18" s="25">
        <f>$M$22*Subscriptions!F18</f>
        <v>5000</v>
      </c>
      <c r="G18" s="26">
        <f>SUM(C18:F18)</f>
        <v>44500</v>
      </c>
      <c r="H18" s="32"/>
      <c r="I18" s="25">
        <f>$M$22*2*Subscriptions!I18</f>
        <v>10000</v>
      </c>
    </row>
    <row r="19" spans="1:11" ht="13.5" customHeight="1">
      <c r="A19" s="2" t="s">
        <v>109</v>
      </c>
      <c r="B19" s="9"/>
      <c r="C19" s="25">
        <f>$M$22*Subscriptions!C19</f>
        <v>625000</v>
      </c>
      <c r="D19" s="25">
        <f>$M$22*Subscriptions!D19</f>
        <v>937500</v>
      </c>
      <c r="E19" s="25">
        <f>$M$22*Subscriptions!E19</f>
        <v>125000</v>
      </c>
      <c r="F19" s="25">
        <f>$M$22*Subscriptions!F19</f>
        <v>12500</v>
      </c>
      <c r="G19" s="26">
        <f>SUM(C19:F19)</f>
        <v>1700000</v>
      </c>
      <c r="H19" s="31"/>
      <c r="I19" s="25">
        <f>$M$22*2*Subscriptions!I19</f>
        <v>25000</v>
      </c>
      <c r="K19" t="s">
        <v>252</v>
      </c>
    </row>
    <row r="20" spans="1:13" ht="13.5" customHeight="1">
      <c r="A20" s="2"/>
      <c r="B20" s="9"/>
      <c r="C20" s="12"/>
      <c r="D20" s="12"/>
      <c r="E20" s="12"/>
      <c r="F20" s="12"/>
      <c r="G20" s="6"/>
      <c r="H20" s="32"/>
      <c r="I20" s="28"/>
      <c r="K20" t="s">
        <v>232</v>
      </c>
      <c r="M20" s="84">
        <f>'Model Comparisons'!C56</f>
        <v>50</v>
      </c>
    </row>
    <row r="21" spans="1:9" ht="13.5" customHeight="1">
      <c r="A21" s="3" t="s">
        <v>121</v>
      </c>
      <c r="B21" s="9"/>
      <c r="C21" s="8"/>
      <c r="D21" s="8"/>
      <c r="E21" s="8"/>
      <c r="F21" s="8"/>
      <c r="G21" s="8"/>
      <c r="H21" s="32"/>
      <c r="I21" s="28"/>
    </row>
    <row r="22" spans="1:13" ht="13.5" customHeight="1">
      <c r="A22" s="2" t="s">
        <v>197</v>
      </c>
      <c r="B22" s="9"/>
      <c r="C22" s="26">
        <f aca="true" t="shared" si="0" ref="C22:F23">C10+C14+C18</f>
        <v>6000</v>
      </c>
      <c r="D22" s="26">
        <f t="shared" si="0"/>
        <v>45000</v>
      </c>
      <c r="E22" s="26">
        <f t="shared" si="0"/>
        <v>75000</v>
      </c>
      <c r="F22" s="26">
        <f t="shared" si="0"/>
        <v>40000</v>
      </c>
      <c r="G22" s="69">
        <f>SUM(C22:F22)</f>
        <v>166000</v>
      </c>
      <c r="H22" s="32"/>
      <c r="I22" s="26">
        <f>I10+I14+I18</f>
        <v>80000</v>
      </c>
      <c r="K22" t="s">
        <v>235</v>
      </c>
      <c r="M22" s="83">
        <f>M16*M20</f>
        <v>50</v>
      </c>
    </row>
    <row r="23" spans="1:9" ht="13.5" customHeight="1">
      <c r="A23" s="2" t="s">
        <v>109</v>
      </c>
      <c r="B23" s="9"/>
      <c r="C23" s="26">
        <f t="shared" si="0"/>
        <v>2000000</v>
      </c>
      <c r="D23" s="26">
        <f t="shared" si="0"/>
        <v>1937500</v>
      </c>
      <c r="E23" s="26">
        <f t="shared" si="0"/>
        <v>687500</v>
      </c>
      <c r="F23" s="26">
        <f t="shared" si="0"/>
        <v>112500</v>
      </c>
      <c r="G23" s="69">
        <f>SUM(C23:F23)</f>
        <v>4737500</v>
      </c>
      <c r="H23" s="33"/>
      <c r="I23" s="26">
        <f>I11+I15+I19</f>
        <v>225000</v>
      </c>
    </row>
    <row r="24" spans="1:9" ht="13.5" customHeight="1">
      <c r="A24" s="29"/>
      <c r="B24" s="30"/>
      <c r="C24" s="30"/>
      <c r="D24" s="30"/>
      <c r="E24" s="30"/>
      <c r="F24" s="30"/>
      <c r="G24" s="30"/>
      <c r="H24" s="34"/>
      <c r="I24" s="28"/>
    </row>
    <row r="25" spans="1:11" ht="13.5" customHeight="1">
      <c r="A25" s="164" t="s">
        <v>186</v>
      </c>
      <c r="B25" s="164"/>
      <c r="C25" s="164"/>
      <c r="D25" s="164"/>
      <c r="E25" s="9"/>
      <c r="F25" s="9"/>
      <c r="G25" s="9"/>
      <c r="H25" s="5"/>
      <c r="I25" s="28"/>
      <c r="K25" s="38" t="s">
        <v>156</v>
      </c>
    </row>
    <row r="26" spans="1:11" ht="13.5" customHeight="1">
      <c r="A26" s="2" t="s">
        <v>118</v>
      </c>
      <c r="B26" s="9"/>
      <c r="C26" s="25">
        <f>$M$22*2*Subscriptions!C26</f>
        <v>400</v>
      </c>
      <c r="D26" s="25">
        <f>$M$22*2*Subscriptions!D26</f>
        <v>600</v>
      </c>
      <c r="E26" s="25">
        <f>$M$22*2*Subscriptions!E26</f>
        <v>300</v>
      </c>
      <c r="F26" s="25">
        <f>$M$22*2*Subscriptions!F26</f>
        <v>100</v>
      </c>
      <c r="G26" s="26">
        <f>SUM(C26:F26)</f>
        <v>1400</v>
      </c>
      <c r="H26" s="5"/>
      <c r="I26" s="64">
        <f>I22+G26</f>
        <v>81400</v>
      </c>
      <c r="K26" s="38"/>
    </row>
    <row r="27" spans="1:11" ht="13.5" customHeight="1">
      <c r="A27" s="2" t="s">
        <v>119</v>
      </c>
      <c r="B27" s="9"/>
      <c r="C27" s="25">
        <f>$M$22*2*Subscriptions!C27</f>
        <v>50000</v>
      </c>
      <c r="D27" s="25">
        <f>$M$22*2*Subscriptions!D27</f>
        <v>10000</v>
      </c>
      <c r="E27" s="25">
        <f>$M$22*2*Subscriptions!E27</f>
        <v>1000</v>
      </c>
      <c r="F27" s="25">
        <f>$M$22*2*Subscriptions!F27</f>
        <v>100</v>
      </c>
      <c r="G27" s="26">
        <f>SUM(C27:F27)</f>
        <v>61100</v>
      </c>
      <c r="H27" s="5"/>
      <c r="I27" s="64">
        <f>I23+G27</f>
        <v>286100</v>
      </c>
      <c r="K27" s="38" t="s">
        <v>155</v>
      </c>
    </row>
    <row r="28" ht="13.5" customHeight="1">
      <c r="K28" s="38" t="s">
        <v>195</v>
      </c>
    </row>
    <row r="30" ht="13.5" customHeight="1">
      <c r="A30" s="13" t="s">
        <v>201</v>
      </c>
    </row>
    <row r="32" spans="1:9" ht="13.5" customHeight="1">
      <c r="A32" s="6"/>
      <c r="B32" s="4" t="s">
        <v>115</v>
      </c>
      <c r="C32" s="4" t="s">
        <v>108</v>
      </c>
      <c r="D32" s="4" t="s">
        <v>110</v>
      </c>
      <c r="E32" s="4" t="s">
        <v>111</v>
      </c>
      <c r="F32" s="4" t="s">
        <v>261</v>
      </c>
      <c r="G32" s="4" t="s">
        <v>117</v>
      </c>
      <c r="H32" s="6"/>
      <c r="I32" s="10" t="s">
        <v>127</v>
      </c>
    </row>
    <row r="33" spans="1:9" ht="13.5" customHeight="1">
      <c r="A33" s="6"/>
      <c r="B33" s="6"/>
      <c r="C33" s="22"/>
      <c r="D33" s="22"/>
      <c r="E33" s="22"/>
      <c r="F33" s="22"/>
      <c r="G33" s="6"/>
      <c r="H33" s="6"/>
      <c r="I33" s="27" t="s">
        <v>187</v>
      </c>
    </row>
    <row r="34" spans="1:9" ht="13.5" customHeight="1">
      <c r="A34" s="2"/>
      <c r="B34" s="6"/>
      <c r="C34" s="22"/>
      <c r="D34" s="22"/>
      <c r="E34" s="22"/>
      <c r="F34" s="22"/>
      <c r="G34" s="6"/>
      <c r="H34" s="6"/>
      <c r="I34" s="27" t="s">
        <v>188</v>
      </c>
    </row>
    <row r="35" spans="1:9" ht="13.5" customHeight="1">
      <c r="A35" s="2"/>
      <c r="B35" s="9"/>
      <c r="C35" s="6"/>
      <c r="D35" s="6"/>
      <c r="E35" s="6"/>
      <c r="F35" s="6"/>
      <c r="G35" s="6"/>
      <c r="H35" s="6"/>
      <c r="I35" s="27" t="s">
        <v>189</v>
      </c>
    </row>
    <row r="36" spans="1:9" ht="13.5" customHeight="1">
      <c r="A36" s="18" t="s">
        <v>198</v>
      </c>
      <c r="B36" s="9"/>
      <c r="C36" s="12"/>
      <c r="D36" s="12"/>
      <c r="E36" s="12"/>
      <c r="F36" s="12"/>
      <c r="G36" s="6"/>
      <c r="H36" s="6"/>
      <c r="I36" s="12"/>
    </row>
    <row r="37" spans="1:9" ht="13.5" customHeight="1">
      <c r="A37" s="3" t="s">
        <v>108</v>
      </c>
      <c r="B37" s="12"/>
      <c r="C37" s="11"/>
      <c r="D37" s="11"/>
      <c r="E37" s="11"/>
      <c r="F37" s="11"/>
      <c r="G37" s="6"/>
      <c r="H37" s="8"/>
      <c r="I37" s="12"/>
    </row>
    <row r="38" spans="1:9" ht="13.5" customHeight="1">
      <c r="A38" s="2" t="s">
        <v>122</v>
      </c>
      <c r="B38" s="12"/>
      <c r="C38" s="26">
        <f>C10/Subscriptions!$B10</f>
        <v>4</v>
      </c>
      <c r="D38" s="26">
        <f>D10/Subscriptions!$B10</f>
        <v>15.000000000000004</v>
      </c>
      <c r="E38" s="26">
        <f>E10/Subscriptions!$B10</f>
        <v>75</v>
      </c>
      <c r="F38" s="26">
        <f>F10/Subscriptions!$B10</f>
        <v>50</v>
      </c>
      <c r="G38" s="69">
        <f>SUM(C38:F38)</f>
        <v>144</v>
      </c>
      <c r="H38" s="26"/>
      <c r="I38" s="64">
        <f>I10/Subscriptions!$B10</f>
        <v>100</v>
      </c>
    </row>
    <row r="39" spans="1:9" ht="13.5" customHeight="1">
      <c r="A39" s="2" t="s">
        <v>119</v>
      </c>
      <c r="B39" s="12"/>
      <c r="C39" s="26">
        <f>C11/Subscriptions!$B11</f>
        <v>500</v>
      </c>
      <c r="D39" s="26">
        <f>D11/Subscriptions!$B11</f>
        <v>250</v>
      </c>
      <c r="E39" s="26">
        <f>E11/Subscriptions!$B11</f>
        <v>250</v>
      </c>
      <c r="F39" s="26">
        <f>F11/Subscriptions!$B11</f>
        <v>50</v>
      </c>
      <c r="G39" s="69">
        <f>SUM(C39:F39)</f>
        <v>1050</v>
      </c>
      <c r="H39" s="26"/>
      <c r="I39" s="64">
        <f>I11/Subscriptions!$B11</f>
        <v>100</v>
      </c>
    </row>
    <row r="40" spans="1:9" ht="13.5" customHeight="1">
      <c r="A40" s="2"/>
      <c r="B40" s="12"/>
      <c r="C40" s="26"/>
      <c r="D40" s="26"/>
      <c r="E40" s="26"/>
      <c r="F40" s="26"/>
      <c r="G40" s="37"/>
      <c r="H40" s="26"/>
      <c r="I40" s="26"/>
    </row>
    <row r="41" spans="1:9" ht="13.5" customHeight="1">
      <c r="A41" s="3" t="s">
        <v>110</v>
      </c>
      <c r="B41" s="12"/>
      <c r="C41" s="26"/>
      <c r="D41" s="26"/>
      <c r="E41" s="26"/>
      <c r="F41" s="26"/>
      <c r="G41" s="37"/>
      <c r="H41" s="26"/>
      <c r="I41" s="26"/>
    </row>
    <row r="42" spans="1:9" ht="13.5" customHeight="1">
      <c r="A42" s="2" t="s">
        <v>197</v>
      </c>
      <c r="B42" s="6"/>
      <c r="C42" s="26">
        <f>C14/Subscriptions!$B14</f>
        <v>10</v>
      </c>
      <c r="D42" s="26">
        <f>D14/Subscriptions!$B14</f>
        <v>75</v>
      </c>
      <c r="E42" s="26">
        <f>E14/Subscriptions!$B14</f>
        <v>112.5</v>
      </c>
      <c r="F42" s="26">
        <f>F14/Subscriptions!$B14</f>
        <v>50</v>
      </c>
      <c r="G42" s="69">
        <f>SUM(C42:F42)</f>
        <v>247.5</v>
      </c>
      <c r="H42" s="26"/>
      <c r="I42" s="64">
        <f>I14/Subscriptions!$B14</f>
        <v>100</v>
      </c>
    </row>
    <row r="43" spans="1:9" ht="13.5" customHeight="1">
      <c r="A43" s="2" t="s">
        <v>109</v>
      </c>
      <c r="B43" s="6"/>
      <c r="C43" s="26">
        <f>C15/Subscriptions!$B15</f>
        <v>1250</v>
      </c>
      <c r="D43" s="26">
        <f>D15/Subscriptions!$B15</f>
        <v>1250</v>
      </c>
      <c r="E43" s="26">
        <f>E15/Subscriptions!$B15</f>
        <v>375</v>
      </c>
      <c r="F43" s="26">
        <f>F15/Subscriptions!$B15</f>
        <v>50</v>
      </c>
      <c r="G43" s="69">
        <f>SUM(C43:F43)</f>
        <v>2925</v>
      </c>
      <c r="H43" s="26"/>
      <c r="I43" s="64">
        <f>I15/Subscriptions!$B15</f>
        <v>100</v>
      </c>
    </row>
    <row r="44" spans="1:9" ht="13.5" customHeight="1">
      <c r="A44" s="2"/>
      <c r="B44" s="12"/>
      <c r="C44" s="26"/>
      <c r="D44" s="26"/>
      <c r="E44" s="26"/>
      <c r="F44" s="26"/>
      <c r="G44" s="37"/>
      <c r="H44" s="26"/>
      <c r="I44" s="26"/>
    </row>
    <row r="45" spans="1:9" ht="13.5" customHeight="1">
      <c r="A45" s="3" t="s">
        <v>111</v>
      </c>
      <c r="B45" s="12"/>
      <c r="C45" s="26"/>
      <c r="D45" s="26"/>
      <c r="E45" s="26"/>
      <c r="F45" s="26"/>
      <c r="G45" s="37"/>
      <c r="H45" s="26"/>
      <c r="I45" s="26"/>
    </row>
    <row r="46" spans="1:9" ht="13.5" customHeight="1">
      <c r="A46" s="2" t="s">
        <v>197</v>
      </c>
      <c r="B46" s="6"/>
      <c r="C46" s="26">
        <f>C18/Subscriptions!$B18</f>
        <v>20</v>
      </c>
      <c r="D46" s="26">
        <f>D18/Subscriptions!$B18</f>
        <v>225</v>
      </c>
      <c r="E46" s="26">
        <f>E18/Subscriptions!$B18</f>
        <v>150</v>
      </c>
      <c r="F46" s="26">
        <f>F18/Subscriptions!$B18</f>
        <v>50</v>
      </c>
      <c r="G46" s="69">
        <f>SUM(C46:F46)</f>
        <v>445</v>
      </c>
      <c r="H46" s="26"/>
      <c r="I46" s="64">
        <f>I18/Subscriptions!$B18</f>
        <v>100</v>
      </c>
    </row>
    <row r="47" spans="1:9" ht="13.5" customHeight="1">
      <c r="A47" s="2" t="s">
        <v>109</v>
      </c>
      <c r="B47" s="6"/>
      <c r="C47" s="26">
        <f>C19/Subscriptions!$B19</f>
        <v>2500</v>
      </c>
      <c r="D47" s="26">
        <f>D19/Subscriptions!$B19</f>
        <v>3750</v>
      </c>
      <c r="E47" s="26">
        <f>E19/Subscriptions!$B19</f>
        <v>500</v>
      </c>
      <c r="F47" s="26">
        <f>F19/Subscriptions!$B19</f>
        <v>50</v>
      </c>
      <c r="G47" s="69">
        <f>SUM(C47:F47)</f>
        <v>6800</v>
      </c>
      <c r="H47" s="26"/>
      <c r="I47" s="64">
        <f>I19/Subscriptions!$B19</f>
        <v>100</v>
      </c>
    </row>
    <row r="48" spans="1:9" ht="13.5" customHeight="1">
      <c r="A48" s="2"/>
      <c r="B48" s="12"/>
      <c r="C48" s="26"/>
      <c r="D48" s="26"/>
      <c r="E48" s="26"/>
      <c r="F48" s="26"/>
      <c r="G48" s="26"/>
      <c r="H48" s="26"/>
      <c r="I48" s="26"/>
    </row>
    <row r="49" spans="1:9" ht="13.5" customHeight="1">
      <c r="A49" s="3" t="s">
        <v>121</v>
      </c>
      <c r="B49" s="12"/>
      <c r="C49" s="26"/>
      <c r="D49" s="26"/>
      <c r="E49" s="26"/>
      <c r="F49" s="26"/>
      <c r="G49" s="26"/>
      <c r="H49" s="26"/>
      <c r="I49" s="26"/>
    </row>
    <row r="50" spans="1:9" ht="13.5" customHeight="1">
      <c r="A50" s="2" t="s">
        <v>197</v>
      </c>
      <c r="B50" s="6"/>
      <c r="C50" s="26"/>
      <c r="D50" s="26"/>
      <c r="E50" s="26"/>
      <c r="F50" s="26"/>
      <c r="G50" s="26"/>
      <c r="H50" s="26"/>
      <c r="I50" s="26"/>
    </row>
    <row r="51" spans="1:9" ht="13.5" customHeight="1">
      <c r="A51" s="2" t="s">
        <v>109</v>
      </c>
      <c r="B51" s="6"/>
      <c r="C51" s="26"/>
      <c r="D51" s="26"/>
      <c r="E51" s="26"/>
      <c r="F51" s="26"/>
      <c r="G51" s="26"/>
      <c r="H51" s="26"/>
      <c r="I51" s="26"/>
    </row>
    <row r="52" spans="1:9" ht="13.5" customHeight="1">
      <c r="A52" s="2"/>
      <c r="B52" s="12"/>
      <c r="C52" s="26"/>
      <c r="D52" s="26"/>
      <c r="E52" s="26"/>
      <c r="F52" s="26"/>
      <c r="G52" s="26"/>
      <c r="H52" s="26"/>
      <c r="I52" s="26"/>
    </row>
    <row r="53" spans="1:9" ht="13.5" customHeight="1">
      <c r="A53" s="3" t="s">
        <v>120</v>
      </c>
      <c r="B53" s="12"/>
      <c r="C53" s="26"/>
      <c r="D53" s="26"/>
      <c r="E53" s="26"/>
      <c r="F53" s="26"/>
      <c r="G53" s="26"/>
      <c r="H53" s="26"/>
      <c r="I53" s="26"/>
    </row>
    <row r="54" spans="1:9" ht="13.5" customHeight="1">
      <c r="A54" s="2" t="s">
        <v>118</v>
      </c>
      <c r="B54" s="6"/>
      <c r="C54" s="26"/>
      <c r="D54" s="26"/>
      <c r="E54" s="26"/>
      <c r="F54" s="26"/>
      <c r="G54" s="26"/>
      <c r="H54" s="26"/>
      <c r="I54" s="26"/>
    </row>
    <row r="55" spans="1:9" ht="13.5" customHeight="1">
      <c r="A55" s="2" t="s">
        <v>119</v>
      </c>
      <c r="B55" s="6"/>
      <c r="C55" s="26"/>
      <c r="D55" s="26"/>
      <c r="E55" s="26"/>
      <c r="F55" s="26"/>
      <c r="G55" s="26"/>
      <c r="H55" s="26"/>
      <c r="I55" s="26"/>
    </row>
    <row r="58" ht="13.5" customHeight="1">
      <c r="A58" s="13" t="s">
        <v>202</v>
      </c>
    </row>
    <row r="60" spans="1:9" ht="13.5" customHeight="1">
      <c r="A60" s="6"/>
      <c r="B60" s="4" t="s">
        <v>115</v>
      </c>
      <c r="C60" s="4" t="s">
        <v>108</v>
      </c>
      <c r="D60" s="4" t="s">
        <v>110</v>
      </c>
      <c r="E60" s="4" t="s">
        <v>111</v>
      </c>
      <c r="F60" s="4" t="s">
        <v>261</v>
      </c>
      <c r="G60" s="4" t="s">
        <v>117</v>
      </c>
      <c r="H60" s="6"/>
      <c r="I60" s="10" t="s">
        <v>127</v>
      </c>
    </row>
    <row r="61" spans="1:9" ht="13.5" customHeight="1">
      <c r="A61" s="6"/>
      <c r="B61" s="6"/>
      <c r="C61" s="22"/>
      <c r="D61" s="22"/>
      <c r="E61" s="22"/>
      <c r="F61" s="22"/>
      <c r="G61" s="6"/>
      <c r="H61" s="6"/>
      <c r="I61" s="27" t="s">
        <v>187</v>
      </c>
    </row>
    <row r="62" spans="1:9" ht="13.5" customHeight="1">
      <c r="A62" s="2"/>
      <c r="B62" s="6"/>
      <c r="C62" s="22"/>
      <c r="D62" s="22"/>
      <c r="E62" s="22"/>
      <c r="F62" s="22"/>
      <c r="G62" s="6"/>
      <c r="H62" s="6"/>
      <c r="I62" s="27" t="s">
        <v>188</v>
      </c>
    </row>
    <row r="63" spans="1:9" ht="13.5" customHeight="1">
      <c r="A63" s="2"/>
      <c r="B63" s="9"/>
      <c r="C63" s="6"/>
      <c r="D63" s="6"/>
      <c r="E63" s="6"/>
      <c r="F63" s="6"/>
      <c r="G63" s="6"/>
      <c r="H63" s="6"/>
      <c r="I63" s="27" t="s">
        <v>189</v>
      </c>
    </row>
    <row r="64" spans="1:9" ht="13.5" customHeight="1">
      <c r="A64" s="18" t="s">
        <v>198</v>
      </c>
      <c r="B64" s="9"/>
      <c r="C64" s="12"/>
      <c r="D64" s="12"/>
      <c r="E64" s="12"/>
      <c r="F64" s="12"/>
      <c r="G64" s="6"/>
      <c r="H64" s="6"/>
      <c r="I64" s="12"/>
    </row>
    <row r="65" spans="1:9" ht="13.5" customHeight="1">
      <c r="A65" s="3" t="s">
        <v>108</v>
      </c>
      <c r="B65" s="12"/>
      <c r="C65" s="11"/>
      <c r="D65" s="11"/>
      <c r="E65" s="11"/>
      <c r="F65" s="11"/>
      <c r="G65" s="6"/>
      <c r="H65" s="8"/>
      <c r="I65" s="12"/>
    </row>
    <row r="66" spans="1:9" ht="13.5" customHeight="1">
      <c r="A66" s="2" t="s">
        <v>122</v>
      </c>
      <c r="B66" s="12"/>
      <c r="C66" s="26">
        <f>C10/Subscriptions!C$5</f>
        <v>500</v>
      </c>
      <c r="D66" s="26">
        <f>D10/Subscriptions!D$5</f>
        <v>1250.0000000000002</v>
      </c>
      <c r="E66" s="26">
        <f>E10/Subscriptions!E$5</f>
        <v>12500</v>
      </c>
      <c r="F66" s="26">
        <f>F10/Subscriptions!F$5</f>
        <v>25000</v>
      </c>
      <c r="G66" s="26"/>
      <c r="H66" s="26"/>
      <c r="I66" s="26"/>
    </row>
    <row r="67" spans="1:9" ht="13.5" customHeight="1">
      <c r="A67" s="2" t="s">
        <v>119</v>
      </c>
      <c r="B67" s="12"/>
      <c r="C67" s="26">
        <f>C11/Subscriptions!C$6</f>
        <v>1500</v>
      </c>
      <c r="D67" s="26">
        <f>D11/Subscriptions!D$6</f>
        <v>3750</v>
      </c>
      <c r="E67" s="26">
        <f>E11/Subscriptions!E$6</f>
        <v>37500</v>
      </c>
      <c r="F67" s="26">
        <f>F11/Subscriptions!F$6</f>
        <v>75000</v>
      </c>
      <c r="G67" s="26"/>
      <c r="H67" s="26"/>
      <c r="I67" s="26"/>
    </row>
    <row r="68" spans="1:9" ht="13.5" customHeight="1">
      <c r="A68" s="2"/>
      <c r="B68" s="12"/>
      <c r="C68" s="26"/>
      <c r="D68" s="26"/>
      <c r="E68" s="26"/>
      <c r="F68" s="26"/>
      <c r="G68" s="26"/>
      <c r="H68" s="26"/>
      <c r="I68" s="26"/>
    </row>
    <row r="69" spans="1:9" ht="13.5" customHeight="1">
      <c r="A69" s="3" t="s">
        <v>110</v>
      </c>
      <c r="B69" s="12"/>
      <c r="C69" s="26"/>
      <c r="D69" s="26"/>
      <c r="E69" s="26"/>
      <c r="F69" s="26"/>
      <c r="G69" s="26"/>
      <c r="H69" s="26"/>
      <c r="I69" s="26"/>
    </row>
    <row r="70" spans="1:9" ht="13.5" customHeight="1">
      <c r="A70" s="2" t="s">
        <v>197</v>
      </c>
      <c r="B70" s="6"/>
      <c r="C70" s="26">
        <f>C14/Subscriptions!C$5</f>
        <v>500</v>
      </c>
      <c r="D70" s="26">
        <f>D14/Subscriptions!D$5</f>
        <v>2500</v>
      </c>
      <c r="E70" s="26">
        <f>E14/Subscriptions!E$5</f>
        <v>7500</v>
      </c>
      <c r="F70" s="26">
        <f>F14/Subscriptions!F$5</f>
        <v>10000</v>
      </c>
      <c r="G70" s="26"/>
      <c r="H70" s="26"/>
      <c r="I70" s="26"/>
    </row>
    <row r="71" spans="1:9" ht="13.5" customHeight="1">
      <c r="A71" s="2" t="s">
        <v>109</v>
      </c>
      <c r="B71" s="6"/>
      <c r="C71" s="26">
        <f>C15/Subscriptions!C$6</f>
        <v>1250</v>
      </c>
      <c r="D71" s="26">
        <f>D15/Subscriptions!D$6</f>
        <v>6250</v>
      </c>
      <c r="E71" s="26">
        <f>E15/Subscriptions!E$6</f>
        <v>18750</v>
      </c>
      <c r="F71" s="26">
        <f>F15/Subscriptions!F$6</f>
        <v>25000</v>
      </c>
      <c r="G71" s="26"/>
      <c r="H71" s="26"/>
      <c r="I71" s="26"/>
    </row>
    <row r="72" spans="1:9" ht="13.5" customHeight="1">
      <c r="A72" s="2"/>
      <c r="B72" s="12"/>
      <c r="C72" s="26"/>
      <c r="D72" s="26"/>
      <c r="E72" s="26"/>
      <c r="F72" s="26"/>
      <c r="G72" s="26"/>
      <c r="H72" s="26"/>
      <c r="I72" s="26"/>
    </row>
    <row r="73" spans="1:9" ht="13.5" customHeight="1">
      <c r="A73" s="3" t="s">
        <v>111</v>
      </c>
      <c r="B73" s="12"/>
      <c r="C73" s="26"/>
      <c r="D73" s="26"/>
      <c r="E73" s="26"/>
      <c r="F73" s="26"/>
      <c r="G73" s="26"/>
      <c r="H73" s="26"/>
      <c r="I73" s="26"/>
    </row>
    <row r="74" spans="1:9" ht="13.5" customHeight="1">
      <c r="A74" s="2" t="s">
        <v>197</v>
      </c>
      <c r="B74" s="6"/>
      <c r="C74" s="26">
        <f>C18/Subscriptions!C$5</f>
        <v>500</v>
      </c>
      <c r="D74" s="26">
        <f>D18/Subscriptions!D$5</f>
        <v>3750</v>
      </c>
      <c r="E74" s="26">
        <f>E18/Subscriptions!E$5</f>
        <v>5000</v>
      </c>
      <c r="F74" s="26">
        <f>F18/Subscriptions!F$5</f>
        <v>5000</v>
      </c>
      <c r="G74" s="26"/>
      <c r="H74" s="26"/>
      <c r="I74" s="26"/>
    </row>
    <row r="75" spans="1:9" ht="13.5" customHeight="1">
      <c r="A75" s="2" t="s">
        <v>109</v>
      </c>
      <c r="B75" s="6"/>
      <c r="C75" s="26">
        <f>C19/Subscriptions!C$6</f>
        <v>1250</v>
      </c>
      <c r="D75" s="26">
        <f>D19/Subscriptions!D$6</f>
        <v>9375</v>
      </c>
      <c r="E75" s="26">
        <f>E19/Subscriptions!E$6</f>
        <v>12500</v>
      </c>
      <c r="F75" s="26">
        <f>F19/Subscriptions!F$6</f>
        <v>12500</v>
      </c>
      <c r="G75" s="26"/>
      <c r="H75" s="26"/>
      <c r="I75" s="26"/>
    </row>
    <row r="76" spans="1:9" ht="13.5" customHeight="1">
      <c r="A76" s="2"/>
      <c r="B76" s="12"/>
      <c r="C76" s="26"/>
      <c r="D76" s="26"/>
      <c r="E76" s="26"/>
      <c r="F76" s="26"/>
      <c r="G76" s="26"/>
      <c r="H76" s="26"/>
      <c r="I76" s="26"/>
    </row>
    <row r="77" spans="1:9" ht="13.5" customHeight="1">
      <c r="A77" s="3" t="s">
        <v>121</v>
      </c>
      <c r="B77" s="12"/>
      <c r="C77" s="26"/>
      <c r="D77" s="26"/>
      <c r="E77" s="26"/>
      <c r="F77" s="26"/>
      <c r="G77" s="26"/>
      <c r="H77" s="26"/>
      <c r="I77" s="26"/>
    </row>
    <row r="78" spans="1:9" ht="13.5" customHeight="1">
      <c r="A78" s="2" t="s">
        <v>197</v>
      </c>
      <c r="B78" s="6"/>
      <c r="C78" s="69">
        <f>C66+C70+C74</f>
        <v>1500</v>
      </c>
      <c r="D78" s="69">
        <f aca="true" t="shared" si="1" ref="D78:F79">D66+D70+D74</f>
        <v>7500</v>
      </c>
      <c r="E78" s="69">
        <f t="shared" si="1"/>
        <v>25000</v>
      </c>
      <c r="F78" s="69">
        <f t="shared" si="1"/>
        <v>40000</v>
      </c>
      <c r="G78" s="26"/>
      <c r="H78" s="26"/>
      <c r="I78" s="26"/>
    </row>
    <row r="79" spans="1:9" ht="13.5" customHeight="1">
      <c r="A79" s="2" t="s">
        <v>109</v>
      </c>
      <c r="B79" s="6"/>
      <c r="C79" s="69">
        <f>C67+C71+C75</f>
        <v>4000</v>
      </c>
      <c r="D79" s="69">
        <f t="shared" si="1"/>
        <v>19375</v>
      </c>
      <c r="E79" s="69">
        <f t="shared" si="1"/>
        <v>68750</v>
      </c>
      <c r="F79" s="69">
        <f t="shared" si="1"/>
        <v>112500</v>
      </c>
      <c r="G79" s="26"/>
      <c r="H79" s="26"/>
      <c r="I79" s="26"/>
    </row>
    <row r="80" spans="1:9" ht="13.5" customHeight="1">
      <c r="A80" s="2"/>
      <c r="B80" s="12"/>
      <c r="C80" s="26"/>
      <c r="D80" s="26"/>
      <c r="E80" s="26"/>
      <c r="F80" s="26"/>
      <c r="G80" s="26"/>
      <c r="H80" s="26"/>
      <c r="I80" s="26"/>
    </row>
    <row r="81" spans="1:9" ht="13.5" customHeight="1">
      <c r="A81" s="3" t="s">
        <v>120</v>
      </c>
      <c r="B81" s="12"/>
      <c r="C81" s="26"/>
      <c r="D81" s="26"/>
      <c r="E81" s="26"/>
      <c r="F81" s="26"/>
      <c r="G81" s="26"/>
      <c r="H81" s="26"/>
      <c r="I81" s="26"/>
    </row>
    <row r="82" spans="1:9" ht="13.5" customHeight="1">
      <c r="A82" s="2" t="s">
        <v>118</v>
      </c>
      <c r="B82" s="6"/>
      <c r="C82" s="64">
        <f>C26/Subscriptions!C$5</f>
        <v>100</v>
      </c>
      <c r="D82" s="64">
        <f>D26/Subscriptions!D$5</f>
        <v>100</v>
      </c>
      <c r="E82" s="64">
        <f>E26/Subscriptions!E$5</f>
        <v>100</v>
      </c>
      <c r="F82" s="64">
        <f>F26/Subscriptions!F$5</f>
        <v>100</v>
      </c>
      <c r="G82" s="26"/>
      <c r="H82" s="26"/>
      <c r="I82" s="26"/>
    </row>
    <row r="83" spans="1:9" ht="13.5" customHeight="1">
      <c r="A83" s="2" t="s">
        <v>119</v>
      </c>
      <c r="B83" s="6"/>
      <c r="C83" s="64">
        <f>C27/Subscriptions!C$6</f>
        <v>100</v>
      </c>
      <c r="D83" s="64">
        <f>D27/Subscriptions!D$6</f>
        <v>100</v>
      </c>
      <c r="E83" s="64">
        <f>E27/Subscriptions!E$6</f>
        <v>100</v>
      </c>
      <c r="F83" s="64">
        <f>F27/Subscriptions!F$6</f>
        <v>100</v>
      </c>
      <c r="G83" s="26"/>
      <c r="H83" s="26"/>
      <c r="I83" s="26"/>
    </row>
  </sheetData>
  <sheetProtection/>
  <mergeCells count="3">
    <mergeCell ref="A1:I1"/>
    <mergeCell ref="A2:I2"/>
    <mergeCell ref="A25:D25"/>
  </mergeCells>
  <printOptions/>
  <pageMargins left="0.75" right="0.75" top="1" bottom="1" header="0.5" footer="0.5"/>
  <pageSetup orientation="landscape"/>
</worksheet>
</file>

<file path=xl/worksheets/sheet6.xml><?xml version="1.0" encoding="utf-8"?>
<worksheet xmlns="http://schemas.openxmlformats.org/spreadsheetml/2006/main" xmlns:r="http://schemas.openxmlformats.org/officeDocument/2006/relationships">
  <dimension ref="A1:K28"/>
  <sheetViews>
    <sheetView zoomScale="125" zoomScaleNormal="125" zoomScalePageLayoutView="0" workbookViewId="0" topLeftCell="A1">
      <selection activeCell="B19" sqref="B19"/>
    </sheetView>
  </sheetViews>
  <sheetFormatPr defaultColWidth="12.00390625" defaultRowHeight="13.5" customHeight="1"/>
  <cols>
    <col min="1" max="9" width="12.00390625" style="0" customWidth="1"/>
    <col min="10" max="10" width="2.28125" style="52" customWidth="1"/>
  </cols>
  <sheetData>
    <row r="1" spans="1:10" ht="13.5" customHeight="1">
      <c r="A1" s="162" t="s">
        <v>113</v>
      </c>
      <c r="B1" s="162"/>
      <c r="C1" s="162"/>
      <c r="D1" s="162"/>
      <c r="E1" s="9"/>
      <c r="F1" s="9"/>
      <c r="G1" s="9"/>
      <c r="H1" s="9"/>
      <c r="I1" s="9"/>
      <c r="J1" s="76"/>
    </row>
    <row r="2" spans="1:10" ht="13.5" customHeight="1">
      <c r="A2" s="13" t="s">
        <v>126</v>
      </c>
      <c r="B2" s="5"/>
      <c r="C2" s="5"/>
      <c r="D2" s="5"/>
      <c r="E2" s="5"/>
      <c r="F2" s="5"/>
      <c r="G2" s="5"/>
      <c r="H2" s="5"/>
      <c r="I2" s="9"/>
      <c r="J2" s="77"/>
    </row>
    <row r="3" spans="1:11" ht="13.5" customHeight="1">
      <c r="A3" s="5"/>
      <c r="B3" s="5"/>
      <c r="C3" s="5"/>
      <c r="D3" s="5"/>
      <c r="E3" s="5"/>
      <c r="F3" s="5"/>
      <c r="G3" s="5"/>
      <c r="H3" s="5"/>
      <c r="I3" s="9"/>
      <c r="J3" s="77"/>
      <c r="K3" t="s">
        <v>166</v>
      </c>
    </row>
    <row r="4" spans="1:11" ht="13.5" customHeight="1">
      <c r="A4" s="6"/>
      <c r="B4" s="4" t="s">
        <v>115</v>
      </c>
      <c r="C4" s="4" t="s">
        <v>108</v>
      </c>
      <c r="D4" s="4" t="s">
        <v>110</v>
      </c>
      <c r="E4" s="4" t="s">
        <v>111</v>
      </c>
      <c r="F4" s="4" t="s">
        <v>261</v>
      </c>
      <c r="G4" s="4" t="s">
        <v>117</v>
      </c>
      <c r="H4" s="6"/>
      <c r="I4" s="10" t="s">
        <v>127</v>
      </c>
      <c r="J4" s="77"/>
      <c r="K4" t="s">
        <v>167</v>
      </c>
    </row>
    <row r="5" spans="1:11" ht="13.5" customHeight="1">
      <c r="A5" s="6"/>
      <c r="B5" s="6"/>
      <c r="C5" s="22"/>
      <c r="D5" s="22"/>
      <c r="E5" s="22"/>
      <c r="F5" s="22"/>
      <c r="G5" s="6"/>
      <c r="H5" s="6"/>
      <c r="I5" s="27" t="s">
        <v>187</v>
      </c>
      <c r="J5" s="77"/>
      <c r="K5" t="s">
        <v>104</v>
      </c>
    </row>
    <row r="6" spans="1:11" ht="13.5" customHeight="1">
      <c r="A6" s="2"/>
      <c r="B6" s="6"/>
      <c r="C6" s="22"/>
      <c r="D6" s="22"/>
      <c r="E6" s="22"/>
      <c r="F6" s="22"/>
      <c r="G6" s="6"/>
      <c r="H6" s="6"/>
      <c r="I6" s="27" t="s">
        <v>188</v>
      </c>
      <c r="J6" s="77"/>
      <c r="K6" t="s">
        <v>13</v>
      </c>
    </row>
    <row r="7" spans="1:11" ht="13.5" customHeight="1">
      <c r="A7" s="2"/>
      <c r="B7" s="9"/>
      <c r="C7" s="6"/>
      <c r="D7" s="6"/>
      <c r="E7" s="6"/>
      <c r="F7" s="6"/>
      <c r="G7" s="6"/>
      <c r="H7" s="6"/>
      <c r="I7" s="27" t="s">
        <v>189</v>
      </c>
      <c r="J7" s="77"/>
      <c r="K7" t="s">
        <v>14</v>
      </c>
    </row>
    <row r="8" spans="1:10" ht="13.5" customHeight="1">
      <c r="A8" s="18" t="s">
        <v>116</v>
      </c>
      <c r="B8" s="9"/>
      <c r="C8" s="12"/>
      <c r="D8" s="12"/>
      <c r="E8" s="12"/>
      <c r="F8" s="12"/>
      <c r="G8" s="6"/>
      <c r="H8" s="6"/>
      <c r="I8" s="12"/>
      <c r="J8" s="77"/>
    </row>
    <row r="9" spans="1:10" ht="13.5" customHeight="1">
      <c r="A9" s="3" t="s">
        <v>108</v>
      </c>
      <c r="B9" s="12"/>
      <c r="C9" s="11"/>
      <c r="D9" s="11"/>
      <c r="E9" s="11"/>
      <c r="F9" s="11"/>
      <c r="G9" s="6"/>
      <c r="H9" s="8"/>
      <c r="I9" s="12"/>
      <c r="J9" s="77"/>
    </row>
    <row r="10" spans="1:10" ht="13.5" customHeight="1">
      <c r="A10" s="2" t="s">
        <v>122</v>
      </c>
      <c r="B10" s="15">
        <f>'Model Comparisons'!E73</f>
        <v>12</v>
      </c>
      <c r="C10" s="8">
        <f>$B10</f>
        <v>12</v>
      </c>
      <c r="D10" s="8">
        <f aca="true" t="shared" si="0" ref="D10:F11">$B10</f>
        <v>12</v>
      </c>
      <c r="E10" s="8">
        <f t="shared" si="0"/>
        <v>12</v>
      </c>
      <c r="F10" s="8">
        <f t="shared" si="0"/>
        <v>12</v>
      </c>
      <c r="G10" s="6"/>
      <c r="H10" s="8"/>
      <c r="I10" s="20">
        <f>B26</f>
        <v>365</v>
      </c>
      <c r="J10" s="77"/>
    </row>
    <row r="11" spans="1:10" ht="13.5" customHeight="1">
      <c r="A11" s="2" t="s">
        <v>119</v>
      </c>
      <c r="B11" s="15">
        <f>'Model Comparisons'!E73</f>
        <v>12</v>
      </c>
      <c r="C11" s="8">
        <f>$B11</f>
        <v>12</v>
      </c>
      <c r="D11" s="8">
        <f t="shared" si="0"/>
        <v>12</v>
      </c>
      <c r="E11" s="8">
        <f t="shared" si="0"/>
        <v>12</v>
      </c>
      <c r="F11" s="8">
        <f t="shared" si="0"/>
        <v>12</v>
      </c>
      <c r="G11" s="6"/>
      <c r="H11" s="8"/>
      <c r="I11" s="20">
        <f>B27</f>
        <v>365</v>
      </c>
      <c r="J11" s="77"/>
    </row>
    <row r="12" spans="1:10" ht="13.5" customHeight="1">
      <c r="A12" s="2"/>
      <c r="B12" s="12"/>
      <c r="C12" s="6"/>
      <c r="D12" s="6"/>
      <c r="E12" s="6"/>
      <c r="F12" s="6"/>
      <c r="G12" s="8"/>
      <c r="H12" s="8"/>
      <c r="I12" s="12"/>
      <c r="J12" s="77"/>
    </row>
    <row r="13" spans="1:10" ht="13.5" customHeight="1">
      <c r="A13" s="3" t="s">
        <v>110</v>
      </c>
      <c r="B13" s="12"/>
      <c r="C13" s="11"/>
      <c r="D13" s="11"/>
      <c r="E13" s="11"/>
      <c r="F13" s="11"/>
      <c r="G13" s="8"/>
      <c r="H13" s="8"/>
      <c r="I13" s="12"/>
      <c r="J13" s="77"/>
    </row>
    <row r="14" spans="1:10" ht="13.5" customHeight="1">
      <c r="A14" s="2" t="s">
        <v>197</v>
      </c>
      <c r="B14" s="15">
        <f>'Model Comparisons'!E74</f>
        <v>52</v>
      </c>
      <c r="C14" s="8">
        <f>$B14</f>
        <v>52</v>
      </c>
      <c r="D14" s="8">
        <f aca="true" t="shared" si="1" ref="D14:F15">$B14</f>
        <v>52</v>
      </c>
      <c r="E14" s="8">
        <f t="shared" si="1"/>
        <v>52</v>
      </c>
      <c r="F14" s="8">
        <f t="shared" si="1"/>
        <v>52</v>
      </c>
      <c r="G14" s="6"/>
      <c r="H14" s="8"/>
      <c r="I14" s="20">
        <f>B26</f>
        <v>365</v>
      </c>
      <c r="J14" s="77"/>
    </row>
    <row r="15" spans="1:10" ht="13.5" customHeight="1">
      <c r="A15" s="2" t="s">
        <v>109</v>
      </c>
      <c r="B15" s="15">
        <f>'Model Comparisons'!E74</f>
        <v>52</v>
      </c>
      <c r="C15" s="8">
        <f>$B15</f>
        <v>52</v>
      </c>
      <c r="D15" s="8">
        <f t="shared" si="1"/>
        <v>52</v>
      </c>
      <c r="E15" s="8">
        <f t="shared" si="1"/>
        <v>52</v>
      </c>
      <c r="F15" s="8">
        <f t="shared" si="1"/>
        <v>52</v>
      </c>
      <c r="G15" s="6"/>
      <c r="H15" s="8"/>
      <c r="I15" s="20">
        <f>B27</f>
        <v>365</v>
      </c>
      <c r="J15" s="77"/>
    </row>
    <row r="16" spans="1:10" ht="13.5" customHeight="1">
      <c r="A16" s="2"/>
      <c r="B16" s="12"/>
      <c r="C16" s="6"/>
      <c r="D16" s="6"/>
      <c r="E16" s="6"/>
      <c r="F16" s="6"/>
      <c r="G16" s="8"/>
      <c r="H16" s="8"/>
      <c r="I16" s="12"/>
      <c r="J16" s="77"/>
    </row>
    <row r="17" spans="1:10" ht="13.5" customHeight="1">
      <c r="A17" s="3" t="s">
        <v>111</v>
      </c>
      <c r="B17" s="12"/>
      <c r="C17" s="11"/>
      <c r="D17" s="11"/>
      <c r="E17" s="11"/>
      <c r="F17" s="11"/>
      <c r="G17" s="8"/>
      <c r="H17" s="8"/>
      <c r="I17" s="12"/>
      <c r="J17" s="77"/>
    </row>
    <row r="18" spans="1:10" ht="13.5" customHeight="1">
      <c r="A18" s="2" t="s">
        <v>197</v>
      </c>
      <c r="B18" s="15">
        <f>'Model Comparisons'!E75</f>
        <v>365</v>
      </c>
      <c r="C18" s="8">
        <f>$B18</f>
        <v>365</v>
      </c>
      <c r="D18" s="8">
        <f aca="true" t="shared" si="2" ref="D18:F19">$B18</f>
        <v>365</v>
      </c>
      <c r="E18" s="8">
        <f t="shared" si="2"/>
        <v>365</v>
      </c>
      <c r="F18" s="8">
        <f t="shared" si="2"/>
        <v>365</v>
      </c>
      <c r="G18" s="6"/>
      <c r="H18" s="8"/>
      <c r="I18" s="20">
        <f>B26</f>
        <v>365</v>
      </c>
      <c r="J18" s="77"/>
    </row>
    <row r="19" spans="1:10" ht="13.5" customHeight="1">
      <c r="A19" s="2" t="s">
        <v>109</v>
      </c>
      <c r="B19" s="15">
        <f>'Model Comparisons'!E75</f>
        <v>365</v>
      </c>
      <c r="C19" s="8">
        <f>$B19</f>
        <v>365</v>
      </c>
      <c r="D19" s="8">
        <f t="shared" si="2"/>
        <v>365</v>
      </c>
      <c r="E19" s="8">
        <f t="shared" si="2"/>
        <v>365</v>
      </c>
      <c r="F19" s="8">
        <f t="shared" si="2"/>
        <v>365</v>
      </c>
      <c r="G19" s="6"/>
      <c r="H19" s="6"/>
      <c r="I19" s="20">
        <f>B27</f>
        <v>365</v>
      </c>
      <c r="J19" s="77"/>
    </row>
    <row r="20" spans="1:10" ht="13.5" customHeight="1">
      <c r="A20" s="2"/>
      <c r="B20" s="12"/>
      <c r="C20" s="12"/>
      <c r="D20" s="12"/>
      <c r="E20" s="12"/>
      <c r="F20" s="12"/>
      <c r="G20" s="6"/>
      <c r="H20" s="8"/>
      <c r="I20" s="12"/>
      <c r="J20" s="77"/>
    </row>
    <row r="21" spans="1:10" ht="13.5" customHeight="1">
      <c r="A21" s="3" t="s">
        <v>121</v>
      </c>
      <c r="B21" s="12"/>
      <c r="C21" s="8"/>
      <c r="D21" s="8"/>
      <c r="E21" s="8"/>
      <c r="F21" s="8"/>
      <c r="G21" s="8"/>
      <c r="H21" s="8"/>
      <c r="I21" s="12"/>
      <c r="J21" s="77"/>
    </row>
    <row r="22" spans="1:10" ht="13.5" customHeight="1">
      <c r="A22" s="2" t="s">
        <v>197</v>
      </c>
      <c r="B22" s="6"/>
      <c r="C22" s="8"/>
      <c r="D22" s="8"/>
      <c r="E22" s="8"/>
      <c r="F22" s="8"/>
      <c r="G22" s="6"/>
      <c r="H22" s="8"/>
      <c r="I22" s="8"/>
      <c r="J22" s="77"/>
    </row>
    <row r="23" spans="1:10" ht="13.5" customHeight="1">
      <c r="A23" s="2" t="s">
        <v>109</v>
      </c>
      <c r="B23" s="6"/>
      <c r="C23" s="8"/>
      <c r="D23" s="8"/>
      <c r="E23" s="8"/>
      <c r="F23" s="8"/>
      <c r="G23" s="6"/>
      <c r="H23" s="7"/>
      <c r="I23" s="8"/>
      <c r="J23" s="77"/>
    </row>
    <row r="24" spans="1:10" ht="13.5" customHeight="1">
      <c r="A24" s="2"/>
      <c r="B24" s="9"/>
      <c r="C24" s="12"/>
      <c r="D24" s="12"/>
      <c r="E24" s="12"/>
      <c r="F24" s="12"/>
      <c r="G24" s="12"/>
      <c r="H24" s="7"/>
      <c r="I24" s="12"/>
      <c r="J24" s="77"/>
    </row>
    <row r="25" spans="1:10" ht="13.5" customHeight="1">
      <c r="A25" s="164" t="s">
        <v>186</v>
      </c>
      <c r="B25" s="164"/>
      <c r="C25" s="164"/>
      <c r="D25" s="164"/>
      <c r="E25" s="12"/>
      <c r="F25" s="12"/>
      <c r="G25" s="12"/>
      <c r="H25" s="7"/>
      <c r="I25" s="12"/>
      <c r="J25" s="77"/>
    </row>
    <row r="26" spans="1:10" ht="13.5" customHeight="1">
      <c r="A26" s="2" t="s">
        <v>118</v>
      </c>
      <c r="B26" s="16">
        <v>365</v>
      </c>
      <c r="C26" s="8">
        <f>$B26</f>
        <v>365</v>
      </c>
      <c r="D26" s="8">
        <f aca="true" t="shared" si="3" ref="D26:F27">$B26</f>
        <v>365</v>
      </c>
      <c r="E26" s="8">
        <f t="shared" si="3"/>
        <v>365</v>
      </c>
      <c r="F26" s="8">
        <f t="shared" si="3"/>
        <v>365</v>
      </c>
      <c r="G26" s="8"/>
      <c r="H26" s="7"/>
      <c r="I26" s="20"/>
      <c r="J26" s="77"/>
    </row>
    <row r="27" spans="1:10" ht="13.5" customHeight="1">
      <c r="A27" s="2" t="s">
        <v>119</v>
      </c>
      <c r="B27" s="16">
        <v>365</v>
      </c>
      <c r="C27" s="8">
        <f>$B27</f>
        <v>365</v>
      </c>
      <c r="D27" s="8">
        <f t="shared" si="3"/>
        <v>365</v>
      </c>
      <c r="E27" s="8">
        <f t="shared" si="3"/>
        <v>365</v>
      </c>
      <c r="F27" s="8">
        <f t="shared" si="3"/>
        <v>365</v>
      </c>
      <c r="G27" s="8"/>
      <c r="H27" s="7"/>
      <c r="I27" s="20"/>
      <c r="J27" s="77"/>
    </row>
    <row r="28" spans="1:10" ht="13.5" customHeight="1">
      <c r="A28" s="5"/>
      <c r="B28" s="5"/>
      <c r="C28" s="5"/>
      <c r="D28" s="5"/>
      <c r="E28" s="5"/>
      <c r="F28" s="5"/>
      <c r="G28" s="5"/>
      <c r="H28" s="5"/>
      <c r="I28" s="9"/>
      <c r="J28" s="77"/>
    </row>
  </sheetData>
  <sheetProtection/>
  <mergeCells count="2">
    <mergeCell ref="A1:D1"/>
    <mergeCell ref="A25:D25"/>
  </mergeCells>
  <printOptions/>
  <pageMargins left="0.75" right="0.75" top="1" bottom="1" header="0.5" footer="0.5"/>
  <pageSetup orientation="landscape"/>
</worksheet>
</file>

<file path=xl/worksheets/sheet7.xml><?xml version="1.0" encoding="utf-8"?>
<worksheet xmlns="http://schemas.openxmlformats.org/spreadsheetml/2006/main" xmlns:r="http://schemas.openxmlformats.org/officeDocument/2006/relationships">
  <dimension ref="A1:P83"/>
  <sheetViews>
    <sheetView zoomScale="125" zoomScaleNormal="125" zoomScalePageLayoutView="0" workbookViewId="0" topLeftCell="A1">
      <selection activeCell="A10" sqref="A10"/>
    </sheetView>
  </sheetViews>
  <sheetFormatPr defaultColWidth="12.00390625" defaultRowHeight="13.5" customHeight="1"/>
  <cols>
    <col min="1" max="9" width="12.00390625" style="0" customWidth="1"/>
    <col min="10" max="10" width="2.28125" style="52" customWidth="1"/>
    <col min="11" max="11" width="19.00390625" style="0" customWidth="1"/>
  </cols>
  <sheetData>
    <row r="1" spans="1:16" ht="13.5" customHeight="1">
      <c r="A1" s="162" t="s">
        <v>128</v>
      </c>
      <c r="B1" s="162"/>
      <c r="C1" s="162"/>
      <c r="D1" s="162"/>
      <c r="E1" s="9"/>
      <c r="F1" s="9"/>
      <c r="G1" s="9"/>
      <c r="H1" s="9"/>
      <c r="I1" s="9"/>
      <c r="P1" t="s">
        <v>129</v>
      </c>
    </row>
    <row r="2" spans="1:16" ht="13.5" customHeight="1">
      <c r="A2" s="13" t="s">
        <v>125</v>
      </c>
      <c r="B2" s="5"/>
      <c r="C2" s="5"/>
      <c r="D2" s="5"/>
      <c r="E2" s="5"/>
      <c r="F2" s="5"/>
      <c r="G2" s="5"/>
      <c r="H2" s="5"/>
      <c r="I2" s="9"/>
      <c r="P2" t="s">
        <v>130</v>
      </c>
    </row>
    <row r="3" spans="1:11" ht="13.5" customHeight="1">
      <c r="A3" s="5"/>
      <c r="B3" s="5"/>
      <c r="C3" s="5"/>
      <c r="D3" s="5"/>
      <c r="E3" s="5"/>
      <c r="F3" s="5"/>
      <c r="G3" s="5"/>
      <c r="H3" s="5"/>
      <c r="I3" s="9"/>
      <c r="K3" t="s">
        <v>70</v>
      </c>
    </row>
    <row r="4" spans="1:11" ht="13.5" customHeight="1">
      <c r="A4" s="6"/>
      <c r="B4" s="4" t="s">
        <v>115</v>
      </c>
      <c r="C4" s="4" t="s">
        <v>108</v>
      </c>
      <c r="D4" s="4" t="s">
        <v>110</v>
      </c>
      <c r="E4" s="4" t="s">
        <v>111</v>
      </c>
      <c r="F4" s="4" t="s">
        <v>261</v>
      </c>
      <c r="G4" s="4" t="s">
        <v>117</v>
      </c>
      <c r="H4" s="6"/>
      <c r="I4" s="10" t="s">
        <v>127</v>
      </c>
      <c r="K4" t="s">
        <v>71</v>
      </c>
    </row>
    <row r="5" spans="1:11" ht="13.5" customHeight="1">
      <c r="A5" s="6"/>
      <c r="B5" s="6"/>
      <c r="C5" s="22"/>
      <c r="D5" s="22"/>
      <c r="E5" s="22"/>
      <c r="F5" s="22"/>
      <c r="G5" s="6"/>
      <c r="H5" s="6"/>
      <c r="I5" s="27" t="s">
        <v>187</v>
      </c>
      <c r="K5" t="s">
        <v>72</v>
      </c>
    </row>
    <row r="6" spans="1:11" ht="13.5" customHeight="1">
      <c r="A6" s="2"/>
      <c r="B6" s="6"/>
      <c r="C6" s="22"/>
      <c r="D6" s="22"/>
      <c r="E6" s="22"/>
      <c r="F6" s="22"/>
      <c r="G6" s="6"/>
      <c r="H6" s="6"/>
      <c r="I6" s="27" t="s">
        <v>188</v>
      </c>
      <c r="K6" t="s">
        <v>73</v>
      </c>
    </row>
    <row r="7" spans="1:11" ht="13.5" customHeight="1">
      <c r="A7" s="2"/>
      <c r="B7" s="9"/>
      <c r="C7" s="6"/>
      <c r="D7" s="6"/>
      <c r="E7" s="6"/>
      <c r="F7" s="6"/>
      <c r="G7" s="6"/>
      <c r="H7" s="6"/>
      <c r="I7" s="27" t="s">
        <v>189</v>
      </c>
      <c r="K7" t="s">
        <v>74</v>
      </c>
    </row>
    <row r="8" spans="1:11" ht="13.5" customHeight="1">
      <c r="A8" s="18" t="s">
        <v>148</v>
      </c>
      <c r="B8" s="9"/>
      <c r="C8" s="12"/>
      <c r="D8" s="12"/>
      <c r="E8" s="12"/>
      <c r="F8" s="12"/>
      <c r="G8" s="6"/>
      <c r="H8" s="6"/>
      <c r="I8" s="12"/>
      <c r="K8" t="s">
        <v>123</v>
      </c>
    </row>
    <row r="9" spans="1:11" ht="13.5" customHeight="1">
      <c r="A9" s="3" t="s">
        <v>108</v>
      </c>
      <c r="B9" s="12"/>
      <c r="C9" s="11"/>
      <c r="D9" s="11"/>
      <c r="E9" s="11"/>
      <c r="F9" s="11"/>
      <c r="G9" s="6"/>
      <c r="H9" s="8"/>
      <c r="I9" s="12"/>
      <c r="K9" t="s">
        <v>203</v>
      </c>
    </row>
    <row r="10" spans="1:11" ht="13.5" customHeight="1">
      <c r="A10" s="2" t="s">
        <v>122</v>
      </c>
      <c r="B10" s="12"/>
      <c r="C10" s="23">
        <f>Subscriptions!C10*'Xfers per sub'!C10</f>
        <v>480</v>
      </c>
      <c r="D10" s="23">
        <f>Subscriptions!D10*'Xfers per sub'!D10</f>
        <v>1800.0000000000005</v>
      </c>
      <c r="E10" s="23">
        <f>Subscriptions!E10*'Xfers per sub'!E10</f>
        <v>9000</v>
      </c>
      <c r="F10" s="23">
        <f>Subscriptions!F10*'Xfers per sub'!F10</f>
        <v>6000</v>
      </c>
      <c r="G10" s="23">
        <f>SUM(C10:F10)</f>
        <v>17280</v>
      </c>
      <c r="H10" s="8"/>
      <c r="I10" s="23">
        <f>IF($L$23="1 file per day",Subscriptions!I10*'Xfers per sub'!I10,G10)</f>
        <v>182500</v>
      </c>
      <c r="K10" t="s">
        <v>204</v>
      </c>
    </row>
    <row r="11" spans="1:11" ht="13.5" customHeight="1">
      <c r="A11" s="2" t="s">
        <v>119</v>
      </c>
      <c r="B11" s="12"/>
      <c r="C11" s="23">
        <f>Subscriptions!C11*'Xfers per sub'!C11</f>
        <v>180000</v>
      </c>
      <c r="D11" s="23">
        <f>Subscriptions!D11*'Xfers per sub'!D11</f>
        <v>90000</v>
      </c>
      <c r="E11" s="23">
        <f>Subscriptions!E11*'Xfers per sub'!E11</f>
        <v>90000</v>
      </c>
      <c r="F11" s="23">
        <f>Subscriptions!F11*'Xfers per sub'!F11</f>
        <v>18000</v>
      </c>
      <c r="G11" s="23">
        <f>SUM(C11:F11)</f>
        <v>378000</v>
      </c>
      <c r="H11" s="8"/>
      <c r="I11" s="23">
        <f>IF($L$23="1 file per day",Subscriptions!I11*'Xfers per sub'!I11,G11)</f>
        <v>547500</v>
      </c>
      <c r="K11" t="s">
        <v>205</v>
      </c>
    </row>
    <row r="12" spans="1:11" ht="13.5" customHeight="1">
      <c r="A12" s="2"/>
      <c r="B12" s="12"/>
      <c r="C12" s="23"/>
      <c r="D12" s="23"/>
      <c r="E12" s="23"/>
      <c r="F12" s="23"/>
      <c r="G12" s="23"/>
      <c r="H12" s="8"/>
      <c r="I12" s="12"/>
      <c r="K12" t="s">
        <v>209</v>
      </c>
    </row>
    <row r="13" spans="1:9" ht="13.5" customHeight="1">
      <c r="A13" s="3" t="s">
        <v>110</v>
      </c>
      <c r="B13" s="12"/>
      <c r="C13" s="23"/>
      <c r="D13" s="23"/>
      <c r="E13" s="23"/>
      <c r="F13" s="23"/>
      <c r="G13" s="23"/>
      <c r="H13" s="8"/>
      <c r="I13" s="12"/>
    </row>
    <row r="14" spans="1:11" ht="13.5" customHeight="1">
      <c r="A14" s="2" t="s">
        <v>197</v>
      </c>
      <c r="B14" s="6"/>
      <c r="C14" s="23">
        <f>Subscriptions!C14*'Xfers per sub'!C14</f>
        <v>2080</v>
      </c>
      <c r="D14" s="23">
        <f>Subscriptions!D14*'Xfers per sub'!D14</f>
        <v>15600</v>
      </c>
      <c r="E14" s="23">
        <f>Subscriptions!E14*'Xfers per sub'!E14</f>
        <v>23400</v>
      </c>
      <c r="F14" s="23">
        <f>Subscriptions!F14*'Xfers per sub'!F14</f>
        <v>10400</v>
      </c>
      <c r="G14" s="23">
        <f>SUM(C14:F14)</f>
        <v>51480</v>
      </c>
      <c r="H14" s="8"/>
      <c r="I14" s="23">
        <f>IF($L$23="1 file per day",Subscriptions!I14*'Xfers per sub'!I14,G14)</f>
        <v>73000</v>
      </c>
      <c r="K14" t="s">
        <v>133</v>
      </c>
    </row>
    <row r="15" spans="1:11" ht="13.5" customHeight="1">
      <c r="A15" s="2" t="s">
        <v>109</v>
      </c>
      <c r="B15" s="6"/>
      <c r="C15" s="23">
        <f>Subscriptions!C15*'Xfers per sub'!C15</f>
        <v>650000</v>
      </c>
      <c r="D15" s="23">
        <f>Subscriptions!D15*'Xfers per sub'!D15</f>
        <v>650000</v>
      </c>
      <c r="E15" s="23">
        <f>Subscriptions!E15*'Xfers per sub'!E15</f>
        <v>195000</v>
      </c>
      <c r="F15" s="23">
        <f>Subscriptions!F15*'Xfers per sub'!F15</f>
        <v>26000</v>
      </c>
      <c r="G15" s="23">
        <f>SUM(C15:F15)</f>
        <v>1521000</v>
      </c>
      <c r="H15" s="8"/>
      <c r="I15" s="23">
        <f>IF($L$23="1 file per day",Subscriptions!I15*'Xfers per sub'!I15,G15)</f>
        <v>182500</v>
      </c>
      <c r="K15" t="s">
        <v>134</v>
      </c>
    </row>
    <row r="16" spans="1:11" ht="13.5" customHeight="1">
      <c r="A16" s="2"/>
      <c r="B16" s="12"/>
      <c r="C16" s="23"/>
      <c r="D16" s="23"/>
      <c r="E16" s="23"/>
      <c r="F16" s="23"/>
      <c r="G16" s="23"/>
      <c r="H16" s="8"/>
      <c r="I16" s="12"/>
      <c r="K16" t="s">
        <v>135</v>
      </c>
    </row>
    <row r="17" spans="1:11" ht="13.5" customHeight="1">
      <c r="A17" s="3" t="s">
        <v>111</v>
      </c>
      <c r="B17" s="12"/>
      <c r="C17" s="23"/>
      <c r="D17" s="23"/>
      <c r="E17" s="23"/>
      <c r="F17" s="23"/>
      <c r="G17" s="23"/>
      <c r="H17" s="8"/>
      <c r="I17" s="12"/>
      <c r="K17" t="s">
        <v>271</v>
      </c>
    </row>
    <row r="18" spans="1:11" ht="13.5" customHeight="1">
      <c r="A18" s="2" t="s">
        <v>197</v>
      </c>
      <c r="B18" s="6"/>
      <c r="C18" s="23">
        <f>Subscriptions!C18*'Xfers per sub'!C18</f>
        <v>14600</v>
      </c>
      <c r="D18" s="23">
        <f>Subscriptions!D18*'Xfers per sub'!D18</f>
        <v>164250</v>
      </c>
      <c r="E18" s="23">
        <f>Subscriptions!E18*'Xfers per sub'!E18</f>
        <v>109500</v>
      </c>
      <c r="F18" s="23">
        <f>Subscriptions!F18*'Xfers per sub'!F18</f>
        <v>36500</v>
      </c>
      <c r="G18" s="23">
        <f>SUM(C18:F18)</f>
        <v>324850</v>
      </c>
      <c r="H18" s="8"/>
      <c r="I18" s="23">
        <f>IF($L$23="1 file per day",Subscriptions!I18*'Xfers per sub'!I18,G18)</f>
        <v>36500</v>
      </c>
      <c r="K18" t="s">
        <v>272</v>
      </c>
    </row>
    <row r="19" spans="1:11" ht="13.5" customHeight="1">
      <c r="A19" s="2" t="s">
        <v>109</v>
      </c>
      <c r="B19" s="6"/>
      <c r="C19" s="23">
        <f>Subscriptions!C19*'Xfers per sub'!C19</f>
        <v>4562500</v>
      </c>
      <c r="D19" s="23">
        <f>Subscriptions!D19*'Xfers per sub'!D19</f>
        <v>6843750</v>
      </c>
      <c r="E19" s="23">
        <f>Subscriptions!E19*'Xfers per sub'!E19</f>
        <v>912500</v>
      </c>
      <c r="F19" s="23">
        <f>Subscriptions!F19*'Xfers per sub'!F19</f>
        <v>91250</v>
      </c>
      <c r="G19" s="23">
        <f>SUM(C19:F19)</f>
        <v>12410000</v>
      </c>
      <c r="H19" s="6"/>
      <c r="I19" s="23">
        <f>IF($L$23="1 file per day",Subscriptions!I19*'Xfers per sub'!I19,G19)</f>
        <v>91250</v>
      </c>
      <c r="K19" t="s">
        <v>273</v>
      </c>
    </row>
    <row r="20" spans="1:11" ht="13.5" customHeight="1">
      <c r="A20" s="2"/>
      <c r="B20" s="12"/>
      <c r="C20" s="24"/>
      <c r="D20" s="24"/>
      <c r="E20" s="24"/>
      <c r="F20" s="24"/>
      <c r="G20" s="23"/>
      <c r="H20" s="8"/>
      <c r="I20" s="12"/>
      <c r="K20" t="s">
        <v>178</v>
      </c>
    </row>
    <row r="21" spans="1:9" ht="13.5" customHeight="1">
      <c r="A21" s="3" t="s">
        <v>121</v>
      </c>
      <c r="B21" s="12"/>
      <c r="C21" s="23"/>
      <c r="D21" s="23"/>
      <c r="E21" s="23"/>
      <c r="F21" s="23"/>
      <c r="G21" s="23"/>
      <c r="H21" s="8"/>
      <c r="I21" s="12"/>
    </row>
    <row r="22" spans="1:9" ht="13.5" customHeight="1">
      <c r="A22" s="2" t="s">
        <v>197</v>
      </c>
      <c r="B22" s="6"/>
      <c r="C22" s="23">
        <f>C10+C14+C18</f>
        <v>17160</v>
      </c>
      <c r="D22" s="23">
        <f aca="true" t="shared" si="0" ref="D22:F23">D10+D14+D18</f>
        <v>181650</v>
      </c>
      <c r="E22" s="23">
        <f t="shared" si="0"/>
        <v>141900</v>
      </c>
      <c r="F22" s="23">
        <f t="shared" si="0"/>
        <v>52900</v>
      </c>
      <c r="G22" s="47">
        <f>SUM(C22:F22)</f>
        <v>393610</v>
      </c>
      <c r="H22" s="8"/>
      <c r="I22" s="23">
        <f>I10+I14+I18</f>
        <v>292000</v>
      </c>
    </row>
    <row r="23" spans="1:12" ht="13.5" customHeight="1">
      <c r="A23" s="2" t="s">
        <v>109</v>
      </c>
      <c r="B23" s="6"/>
      <c r="C23" s="23">
        <f>C11+C15+C19</f>
        <v>5392500</v>
      </c>
      <c r="D23" s="23">
        <f t="shared" si="0"/>
        <v>7583750</v>
      </c>
      <c r="E23" s="23">
        <f t="shared" si="0"/>
        <v>1197500</v>
      </c>
      <c r="F23" s="23">
        <f t="shared" si="0"/>
        <v>135250</v>
      </c>
      <c r="G23" s="47">
        <f>SUM(C23:F23)</f>
        <v>14309000</v>
      </c>
      <c r="H23" s="7"/>
      <c r="I23" s="23">
        <f>I11+I15+I19</f>
        <v>821250</v>
      </c>
      <c r="K23" t="s">
        <v>210</v>
      </c>
      <c r="L23" s="57" t="s">
        <v>211</v>
      </c>
    </row>
    <row r="24" spans="1:11" ht="13.5" customHeight="1">
      <c r="A24" s="2"/>
      <c r="B24" s="12"/>
      <c r="C24" s="12"/>
      <c r="D24" s="12"/>
      <c r="E24" s="12"/>
      <c r="F24" s="12"/>
      <c r="G24" s="12"/>
      <c r="H24" s="7"/>
      <c r="I24" s="12"/>
      <c r="K24" t="s">
        <v>131</v>
      </c>
    </row>
    <row r="25" spans="1:11" ht="13.5" customHeight="1">
      <c r="A25" s="164" t="s">
        <v>186</v>
      </c>
      <c r="B25" s="164"/>
      <c r="C25" s="164"/>
      <c r="D25" s="164"/>
      <c r="E25" s="12"/>
      <c r="F25" s="12"/>
      <c r="G25" s="12"/>
      <c r="H25" s="7"/>
      <c r="I25" s="12"/>
      <c r="K25" t="s">
        <v>132</v>
      </c>
    </row>
    <row r="26" spans="1:9" ht="13.5" customHeight="1">
      <c r="A26" s="2" t="s">
        <v>118</v>
      </c>
      <c r="B26" s="6"/>
      <c r="C26" s="23">
        <f>Subscriptions!C26*'Xfers per sub'!C26</f>
        <v>1460</v>
      </c>
      <c r="D26" s="23">
        <f>Subscriptions!D26*'Xfers per sub'!D26</f>
        <v>2190</v>
      </c>
      <c r="E26" s="23">
        <f>Subscriptions!E26*'Xfers per sub'!E26</f>
        <v>1095</v>
      </c>
      <c r="F26" s="23">
        <f>Subscriptions!F26*'Xfers per sub'!F26</f>
        <v>365</v>
      </c>
      <c r="G26" s="8">
        <f>SUM(C26:F26)</f>
        <v>5110</v>
      </c>
      <c r="H26" s="7"/>
      <c r="I26" s="49">
        <f>I22+G26</f>
        <v>297110</v>
      </c>
    </row>
    <row r="27" spans="1:9" ht="13.5" customHeight="1">
      <c r="A27" s="2" t="s">
        <v>119</v>
      </c>
      <c r="B27" s="6"/>
      <c r="C27" s="23">
        <f>Subscriptions!C27*'Xfers per sub'!C27</f>
        <v>182500</v>
      </c>
      <c r="D27" s="23">
        <f>Subscriptions!D27*'Xfers per sub'!D27</f>
        <v>36500</v>
      </c>
      <c r="E27" s="23">
        <f>Subscriptions!E27*'Xfers per sub'!E27</f>
        <v>3650</v>
      </c>
      <c r="F27" s="23">
        <f>Subscriptions!F27*'Xfers per sub'!F27</f>
        <v>365</v>
      </c>
      <c r="G27" s="8">
        <f>SUM(C27:F27)</f>
        <v>223015</v>
      </c>
      <c r="H27" s="7"/>
      <c r="I27" s="49">
        <f>I23+G27</f>
        <v>1044265</v>
      </c>
    </row>
    <row r="29" ht="13.5" customHeight="1">
      <c r="K29" s="38" t="s">
        <v>156</v>
      </c>
    </row>
    <row r="30" spans="1:11" ht="13.5" customHeight="1">
      <c r="A30" s="13" t="s">
        <v>200</v>
      </c>
      <c r="K30" s="38"/>
    </row>
    <row r="31" ht="13.5" customHeight="1">
      <c r="K31" s="38" t="s">
        <v>155</v>
      </c>
    </row>
    <row r="32" spans="1:11" ht="13.5" customHeight="1">
      <c r="A32" s="6"/>
      <c r="B32" s="4" t="s">
        <v>115</v>
      </c>
      <c r="C32" s="4" t="s">
        <v>108</v>
      </c>
      <c r="D32" s="4" t="s">
        <v>110</v>
      </c>
      <c r="E32" s="4" t="s">
        <v>111</v>
      </c>
      <c r="F32" s="4" t="s">
        <v>261</v>
      </c>
      <c r="G32" s="4" t="s">
        <v>117</v>
      </c>
      <c r="H32" s="6"/>
      <c r="I32" s="10" t="s">
        <v>127</v>
      </c>
      <c r="K32" s="38" t="s">
        <v>195</v>
      </c>
    </row>
    <row r="33" spans="1:9" ht="13.5" customHeight="1">
      <c r="A33" s="6"/>
      <c r="B33" s="6"/>
      <c r="C33" s="22"/>
      <c r="D33" s="22"/>
      <c r="E33" s="22"/>
      <c r="F33" s="22"/>
      <c r="G33" s="6"/>
      <c r="H33" s="6"/>
      <c r="I33" s="27" t="s">
        <v>187</v>
      </c>
    </row>
    <row r="34" spans="1:9" ht="13.5" customHeight="1">
      <c r="A34" s="2"/>
      <c r="B34" s="6"/>
      <c r="C34" s="22"/>
      <c r="D34" s="22"/>
      <c r="E34" s="22"/>
      <c r="F34" s="22"/>
      <c r="G34" s="6"/>
      <c r="H34" s="6"/>
      <c r="I34" s="27" t="s">
        <v>188</v>
      </c>
    </row>
    <row r="35" spans="1:9" ht="13.5" customHeight="1">
      <c r="A35" s="2"/>
      <c r="B35" s="9"/>
      <c r="C35" s="6"/>
      <c r="D35" s="6"/>
      <c r="E35" s="6"/>
      <c r="F35" s="6"/>
      <c r="G35" s="6"/>
      <c r="H35" s="6"/>
      <c r="I35" s="27" t="s">
        <v>189</v>
      </c>
    </row>
    <row r="36" spans="1:8" ht="13.5" customHeight="1">
      <c r="A36" s="18" t="s">
        <v>198</v>
      </c>
      <c r="B36" s="9"/>
      <c r="C36" s="12"/>
      <c r="D36" s="12"/>
      <c r="E36" s="12"/>
      <c r="F36" s="12"/>
      <c r="G36" s="6"/>
      <c r="H36" s="6"/>
    </row>
    <row r="37" spans="1:8" ht="13.5" customHeight="1">
      <c r="A37" s="3" t="s">
        <v>108</v>
      </c>
      <c r="B37" s="12"/>
      <c r="C37" s="11"/>
      <c r="D37" s="11"/>
      <c r="E37" s="11"/>
      <c r="F37" s="11"/>
      <c r="G37" s="6"/>
      <c r="H37" s="8"/>
    </row>
    <row r="38" spans="1:9" ht="13.5" customHeight="1">
      <c r="A38" s="2" t="s">
        <v>122</v>
      </c>
      <c r="B38" s="12"/>
      <c r="C38" s="35">
        <f>C10/Subscriptions!$B10</f>
        <v>0.96</v>
      </c>
      <c r="D38" s="35">
        <f>D10/Subscriptions!$B10</f>
        <v>3.600000000000001</v>
      </c>
      <c r="E38" s="35">
        <f>E10/Subscriptions!$B10</f>
        <v>18</v>
      </c>
      <c r="F38" s="35">
        <f>F10/Subscriptions!$B10</f>
        <v>12</v>
      </c>
      <c r="G38" s="47">
        <f>SUM(C38:F38)</f>
        <v>34.56</v>
      </c>
      <c r="H38" s="8"/>
      <c r="I38" s="48">
        <f>IF(L23="1 file per day",I10/Subscriptions!$B10,G38)</f>
        <v>365</v>
      </c>
    </row>
    <row r="39" spans="1:9" ht="13.5" customHeight="1">
      <c r="A39" s="2" t="s">
        <v>119</v>
      </c>
      <c r="B39" s="12"/>
      <c r="C39" s="35">
        <f>C11/Subscriptions!$B11</f>
        <v>120</v>
      </c>
      <c r="D39" s="35">
        <f>D11/Subscriptions!$B11</f>
        <v>60</v>
      </c>
      <c r="E39" s="35">
        <f>E11/Subscriptions!$B11</f>
        <v>60</v>
      </c>
      <c r="F39" s="35">
        <f>F11/Subscriptions!$B11</f>
        <v>12</v>
      </c>
      <c r="G39" s="47">
        <f>SUM(C39:F39)</f>
        <v>252</v>
      </c>
      <c r="H39" s="8"/>
      <c r="I39" s="48">
        <f>I11/Subscriptions!$B11</f>
        <v>365</v>
      </c>
    </row>
    <row r="40" spans="1:9" ht="13.5" customHeight="1">
      <c r="A40" s="2"/>
      <c r="B40" s="12"/>
      <c r="C40" s="23"/>
      <c r="D40" s="23"/>
      <c r="E40" s="23"/>
      <c r="F40" s="23"/>
      <c r="G40" s="36"/>
      <c r="H40" s="8"/>
      <c r="I40" s="38"/>
    </row>
    <row r="41" spans="1:9" ht="13.5" customHeight="1">
      <c r="A41" s="3" t="s">
        <v>110</v>
      </c>
      <c r="B41" s="12"/>
      <c r="C41" s="23"/>
      <c r="D41" s="23"/>
      <c r="E41" s="23"/>
      <c r="F41" s="23"/>
      <c r="G41" s="36"/>
      <c r="H41" s="8"/>
      <c r="I41" s="38"/>
    </row>
    <row r="42" spans="1:9" ht="13.5" customHeight="1">
      <c r="A42" s="2" t="s">
        <v>197</v>
      </c>
      <c r="B42" s="6"/>
      <c r="C42" s="35">
        <f>C14/Subscriptions!$B14</f>
        <v>10.4</v>
      </c>
      <c r="D42" s="35">
        <f>D14/Subscriptions!$B14</f>
        <v>78</v>
      </c>
      <c r="E42" s="35">
        <f>E14/Subscriptions!$B14</f>
        <v>117</v>
      </c>
      <c r="F42" s="35">
        <f>F14/Subscriptions!$B14</f>
        <v>52</v>
      </c>
      <c r="G42" s="47">
        <f>SUM(C42:F42)</f>
        <v>257.4</v>
      </c>
      <c r="H42" s="8"/>
      <c r="I42" s="48">
        <f>I14/Subscriptions!$B14</f>
        <v>365</v>
      </c>
    </row>
    <row r="43" spans="1:9" ht="13.5" customHeight="1">
      <c r="A43" s="2" t="s">
        <v>109</v>
      </c>
      <c r="B43" s="6"/>
      <c r="C43" s="35">
        <f>C15/Subscriptions!$B15</f>
        <v>1300</v>
      </c>
      <c r="D43" s="35">
        <f>D15/Subscriptions!$B15</f>
        <v>1300</v>
      </c>
      <c r="E43" s="35">
        <f>E15/Subscriptions!$B15</f>
        <v>390</v>
      </c>
      <c r="F43" s="35">
        <f>F15/Subscriptions!$B15</f>
        <v>52</v>
      </c>
      <c r="G43" s="47">
        <f>SUM(C43:F43)</f>
        <v>3042</v>
      </c>
      <c r="H43" s="8"/>
      <c r="I43" s="48">
        <f>I15/Subscriptions!$B15</f>
        <v>365</v>
      </c>
    </row>
    <row r="44" spans="1:9" ht="13.5" customHeight="1">
      <c r="A44" s="2"/>
      <c r="B44" s="12"/>
      <c r="C44" s="23"/>
      <c r="D44" s="23"/>
      <c r="E44" s="23"/>
      <c r="F44" s="23"/>
      <c r="G44" s="36"/>
      <c r="H44" s="8"/>
      <c r="I44" s="38"/>
    </row>
    <row r="45" spans="1:9" ht="13.5" customHeight="1">
      <c r="A45" s="3" t="s">
        <v>111</v>
      </c>
      <c r="B45" s="12"/>
      <c r="C45" s="23"/>
      <c r="D45" s="23"/>
      <c r="E45" s="23"/>
      <c r="F45" s="23"/>
      <c r="G45" s="36"/>
      <c r="H45" s="8"/>
      <c r="I45" s="38"/>
    </row>
    <row r="46" spans="1:9" ht="13.5" customHeight="1">
      <c r="A46" s="2" t="s">
        <v>197</v>
      </c>
      <c r="B46" s="6"/>
      <c r="C46" s="35">
        <f>C18/Subscriptions!$B18</f>
        <v>146</v>
      </c>
      <c r="D46" s="35">
        <f>D18/Subscriptions!$B18</f>
        <v>1642.5</v>
      </c>
      <c r="E46" s="35">
        <f>E18/Subscriptions!$B18</f>
        <v>1095</v>
      </c>
      <c r="F46" s="35">
        <f>F18/Subscriptions!$B18</f>
        <v>365</v>
      </c>
      <c r="G46" s="47">
        <f>SUM(C46:F46)</f>
        <v>3248.5</v>
      </c>
      <c r="H46" s="8"/>
      <c r="I46" s="48">
        <f>I18/Subscriptions!$B18</f>
        <v>365</v>
      </c>
    </row>
    <row r="47" spans="1:9" ht="13.5" customHeight="1">
      <c r="A47" s="2" t="s">
        <v>109</v>
      </c>
      <c r="B47" s="6"/>
      <c r="C47" s="35">
        <f>C19/Subscriptions!$B19</f>
        <v>18250</v>
      </c>
      <c r="D47" s="35">
        <f>D19/Subscriptions!$B19</f>
        <v>27375</v>
      </c>
      <c r="E47" s="35">
        <f>E19/Subscriptions!$B19</f>
        <v>3650</v>
      </c>
      <c r="F47" s="35">
        <f>F19/Subscriptions!$B19</f>
        <v>365</v>
      </c>
      <c r="G47" s="47">
        <f>SUM(C47:F47)</f>
        <v>49640</v>
      </c>
      <c r="H47" s="6"/>
      <c r="I47" s="48">
        <f>I19/Subscriptions!$B19</f>
        <v>365</v>
      </c>
    </row>
    <row r="48" spans="1:8" ht="13.5" customHeight="1">
      <c r="A48" s="2"/>
      <c r="B48" s="12"/>
      <c r="C48" s="24"/>
      <c r="D48" s="24"/>
      <c r="E48" s="24"/>
      <c r="F48" s="24"/>
      <c r="G48" s="23"/>
      <c r="H48" s="8"/>
    </row>
    <row r="49" spans="1:8" ht="13.5" customHeight="1">
      <c r="A49" s="3" t="s">
        <v>121</v>
      </c>
      <c r="B49" s="12"/>
      <c r="C49" s="23"/>
      <c r="D49" s="23"/>
      <c r="E49" s="23"/>
      <c r="F49" s="23"/>
      <c r="G49" s="12"/>
      <c r="H49" s="8"/>
    </row>
    <row r="50" spans="1:8" ht="13.5" customHeight="1">
      <c r="A50" s="2" t="s">
        <v>197</v>
      </c>
      <c r="B50" s="6"/>
      <c r="C50" s="23"/>
      <c r="D50" s="23"/>
      <c r="E50" s="23"/>
      <c r="F50" s="23"/>
      <c r="G50" s="12"/>
      <c r="H50" s="8"/>
    </row>
    <row r="51" spans="1:8" ht="13.5" customHeight="1">
      <c r="A51" s="2" t="s">
        <v>109</v>
      </c>
      <c r="B51" s="6"/>
      <c r="C51" s="23"/>
      <c r="D51" s="23"/>
      <c r="E51" s="23"/>
      <c r="F51" s="23"/>
      <c r="G51" s="12"/>
      <c r="H51" s="7"/>
    </row>
    <row r="52" spans="1:8" ht="13.5" customHeight="1">
      <c r="A52" s="2"/>
      <c r="B52" s="12"/>
      <c r="C52" s="12"/>
      <c r="D52" s="12"/>
      <c r="E52" s="12"/>
      <c r="F52" s="12"/>
      <c r="G52" s="12"/>
      <c r="H52" s="7"/>
    </row>
    <row r="53" spans="1:8" ht="13.5" customHeight="1">
      <c r="A53" s="3" t="s">
        <v>120</v>
      </c>
      <c r="B53" s="12"/>
      <c r="C53" s="12"/>
      <c r="D53" s="12"/>
      <c r="E53" s="12"/>
      <c r="F53" s="12"/>
      <c r="G53" s="12"/>
      <c r="H53" s="7"/>
    </row>
    <row r="54" spans="1:8" ht="13.5" customHeight="1">
      <c r="A54" s="2" t="s">
        <v>118</v>
      </c>
      <c r="B54" s="6"/>
      <c r="C54" s="8"/>
      <c r="D54" s="8"/>
      <c r="E54" s="8"/>
      <c r="F54" s="8"/>
      <c r="G54" s="8"/>
      <c r="H54" s="7"/>
    </row>
    <row r="55" spans="1:8" ht="13.5" customHeight="1">
      <c r="A55" s="2" t="s">
        <v>119</v>
      </c>
      <c r="B55" s="6"/>
      <c r="C55" s="8"/>
      <c r="D55" s="8"/>
      <c r="E55" s="8"/>
      <c r="F55" s="8"/>
      <c r="G55" s="8"/>
      <c r="H55" s="7"/>
    </row>
    <row r="58" ht="13.5" customHeight="1">
      <c r="A58" s="13" t="s">
        <v>199</v>
      </c>
    </row>
    <row r="60" spans="1:9" ht="13.5" customHeight="1">
      <c r="A60" s="6"/>
      <c r="B60" s="4" t="s">
        <v>115</v>
      </c>
      <c r="C60" s="4" t="s">
        <v>108</v>
      </c>
      <c r="D60" s="4" t="s">
        <v>110</v>
      </c>
      <c r="E60" s="4" t="s">
        <v>111</v>
      </c>
      <c r="F60" s="4" t="s">
        <v>261</v>
      </c>
      <c r="G60" s="4" t="s">
        <v>117</v>
      </c>
      <c r="H60" s="6"/>
      <c r="I60" s="10" t="s">
        <v>127</v>
      </c>
    </row>
    <row r="61" spans="1:9" ht="13.5" customHeight="1">
      <c r="A61" s="6"/>
      <c r="B61" s="6"/>
      <c r="C61" s="22"/>
      <c r="D61" s="22"/>
      <c r="E61" s="22"/>
      <c r="F61" s="22"/>
      <c r="G61" s="6"/>
      <c r="H61" s="6"/>
      <c r="I61" s="27" t="s">
        <v>187</v>
      </c>
    </row>
    <row r="62" spans="1:9" ht="13.5" customHeight="1">
      <c r="A62" s="2"/>
      <c r="B62" s="6"/>
      <c r="C62" s="22"/>
      <c r="D62" s="22"/>
      <c r="E62" s="22"/>
      <c r="F62" s="22"/>
      <c r="G62" s="6"/>
      <c r="H62" s="6"/>
      <c r="I62" s="27" t="s">
        <v>188</v>
      </c>
    </row>
    <row r="63" spans="1:9" ht="13.5" customHeight="1">
      <c r="A63" s="2"/>
      <c r="B63" s="9"/>
      <c r="C63" s="6"/>
      <c r="D63" s="6"/>
      <c r="E63" s="6"/>
      <c r="F63" s="6"/>
      <c r="G63" s="6"/>
      <c r="H63" s="6"/>
      <c r="I63" s="27" t="s">
        <v>189</v>
      </c>
    </row>
    <row r="64" spans="1:8" ht="13.5" customHeight="1">
      <c r="A64" s="18" t="s">
        <v>198</v>
      </c>
      <c r="B64" s="9"/>
      <c r="C64" s="12"/>
      <c r="D64" s="12"/>
      <c r="E64" s="12"/>
      <c r="F64" s="12"/>
      <c r="G64" s="6"/>
      <c r="H64" s="6"/>
    </row>
    <row r="65" spans="1:8" ht="13.5" customHeight="1">
      <c r="A65" s="3" t="s">
        <v>108</v>
      </c>
      <c r="B65" s="12"/>
      <c r="C65" s="11"/>
      <c r="D65" s="11"/>
      <c r="E65" s="11"/>
      <c r="F65" s="11"/>
      <c r="G65" s="6"/>
      <c r="H65" s="8"/>
    </row>
    <row r="66" spans="1:8" ht="13.5" customHeight="1">
      <c r="A66" s="2" t="s">
        <v>122</v>
      </c>
      <c r="B66" s="12"/>
      <c r="C66" s="23">
        <f>C10/Subscriptions!C$5</f>
        <v>120</v>
      </c>
      <c r="D66" s="23">
        <f>D10/Subscriptions!D$5</f>
        <v>300.00000000000006</v>
      </c>
      <c r="E66" s="23">
        <f>E10/Subscriptions!E$5</f>
        <v>3000</v>
      </c>
      <c r="F66" s="23">
        <f>F10/Subscriptions!F$5</f>
        <v>6000</v>
      </c>
      <c r="G66" s="23"/>
      <c r="H66" s="8"/>
    </row>
    <row r="67" spans="1:8" ht="13.5" customHeight="1">
      <c r="A67" s="2" t="s">
        <v>119</v>
      </c>
      <c r="B67" s="12"/>
      <c r="C67" s="23">
        <f>C11/Subscriptions!C$6</f>
        <v>360</v>
      </c>
      <c r="D67" s="23">
        <f>D11/Subscriptions!D$6</f>
        <v>900</v>
      </c>
      <c r="E67" s="23">
        <f>E11/Subscriptions!E$6</f>
        <v>9000</v>
      </c>
      <c r="F67" s="23">
        <f>F11/Subscriptions!F$6</f>
        <v>18000</v>
      </c>
      <c r="G67" s="23"/>
      <c r="H67" s="8"/>
    </row>
    <row r="68" spans="1:8" ht="13.5" customHeight="1">
      <c r="A68" s="2"/>
      <c r="B68" s="12"/>
      <c r="C68" s="23"/>
      <c r="D68" s="23"/>
      <c r="E68" s="23"/>
      <c r="F68" s="23"/>
      <c r="G68" s="23"/>
      <c r="H68" s="8"/>
    </row>
    <row r="69" spans="1:8" ht="13.5" customHeight="1">
      <c r="A69" s="3" t="s">
        <v>110</v>
      </c>
      <c r="B69" s="12"/>
      <c r="C69" s="23"/>
      <c r="D69" s="23"/>
      <c r="E69" s="23"/>
      <c r="F69" s="23"/>
      <c r="G69" s="23"/>
      <c r="H69" s="8"/>
    </row>
    <row r="70" spans="1:8" ht="13.5" customHeight="1">
      <c r="A70" s="2" t="s">
        <v>197</v>
      </c>
      <c r="B70" s="6"/>
      <c r="C70" s="23">
        <f>C14/Subscriptions!C$5</f>
        <v>520</v>
      </c>
      <c r="D70" s="23">
        <f>D14/Subscriptions!D$5</f>
        <v>2600</v>
      </c>
      <c r="E70" s="23">
        <f>E14/Subscriptions!E$5</f>
        <v>7800</v>
      </c>
      <c r="F70" s="23">
        <f>F14/Subscriptions!F$5</f>
        <v>10400</v>
      </c>
      <c r="G70" s="23"/>
      <c r="H70" s="8"/>
    </row>
    <row r="71" spans="1:8" ht="13.5" customHeight="1">
      <c r="A71" s="2" t="s">
        <v>109</v>
      </c>
      <c r="B71" s="6"/>
      <c r="C71" s="23">
        <f>C15/Subscriptions!C$6</f>
        <v>1300</v>
      </c>
      <c r="D71" s="23">
        <f>D15/Subscriptions!D$6</f>
        <v>6500</v>
      </c>
      <c r="E71" s="23">
        <f>E15/Subscriptions!E$6</f>
        <v>19500</v>
      </c>
      <c r="F71" s="23">
        <f>F15/Subscriptions!F$6</f>
        <v>26000</v>
      </c>
      <c r="G71" s="23"/>
      <c r="H71" s="8"/>
    </row>
    <row r="72" spans="1:8" ht="13.5" customHeight="1">
      <c r="A72" s="2"/>
      <c r="B72" s="12"/>
      <c r="C72" s="23"/>
      <c r="D72" s="23"/>
      <c r="E72" s="23"/>
      <c r="F72" s="23"/>
      <c r="G72" s="23"/>
      <c r="H72" s="8"/>
    </row>
    <row r="73" spans="1:8" ht="13.5" customHeight="1">
      <c r="A73" s="3" t="s">
        <v>111</v>
      </c>
      <c r="B73" s="12"/>
      <c r="C73" s="23"/>
      <c r="D73" s="23"/>
      <c r="E73" s="23"/>
      <c r="F73" s="23"/>
      <c r="G73" s="23"/>
      <c r="H73" s="8"/>
    </row>
    <row r="74" spans="1:8" ht="13.5" customHeight="1">
      <c r="A74" s="2" t="s">
        <v>197</v>
      </c>
      <c r="B74" s="6"/>
      <c r="C74" s="23">
        <f>C18/Subscriptions!C$5</f>
        <v>3650</v>
      </c>
      <c r="D74" s="23">
        <f>D18/Subscriptions!D$5</f>
        <v>27375</v>
      </c>
      <c r="E74" s="23">
        <f>E18/Subscriptions!E$5</f>
        <v>36500</v>
      </c>
      <c r="F74" s="23">
        <f>F18/Subscriptions!F$5</f>
        <v>36500</v>
      </c>
      <c r="G74" s="23"/>
      <c r="H74" s="8"/>
    </row>
    <row r="75" spans="1:8" ht="13.5" customHeight="1">
      <c r="A75" s="2" t="s">
        <v>109</v>
      </c>
      <c r="B75" s="6"/>
      <c r="C75" s="23">
        <f>C19/Subscriptions!C$6</f>
        <v>9125</v>
      </c>
      <c r="D75" s="23">
        <f>D19/Subscriptions!D$6</f>
        <v>68437.5</v>
      </c>
      <c r="E75" s="23">
        <f>E19/Subscriptions!E$6</f>
        <v>91250</v>
      </c>
      <c r="F75" s="23">
        <f>F19/Subscriptions!F$6</f>
        <v>91250</v>
      </c>
      <c r="G75" s="23"/>
      <c r="H75" s="6"/>
    </row>
    <row r="76" spans="1:8" ht="13.5" customHeight="1">
      <c r="A76" s="2"/>
      <c r="B76" s="12"/>
      <c r="C76" s="24"/>
      <c r="D76" s="24"/>
      <c r="E76" s="24"/>
      <c r="F76" s="24"/>
      <c r="G76" s="23"/>
      <c r="H76" s="8"/>
    </row>
    <row r="77" spans="1:8" ht="13.5" customHeight="1">
      <c r="A77" s="3" t="s">
        <v>121</v>
      </c>
      <c r="B77" s="12"/>
      <c r="C77" s="23"/>
      <c r="D77" s="23"/>
      <c r="E77" s="23"/>
      <c r="F77" s="23"/>
      <c r="G77" s="23"/>
      <c r="H77" s="8"/>
    </row>
    <row r="78" spans="1:8" ht="13.5" customHeight="1">
      <c r="A78" s="2" t="s">
        <v>197</v>
      </c>
      <c r="B78" s="6"/>
      <c r="C78" s="47">
        <f>C66+C70+C74</f>
        <v>4290</v>
      </c>
      <c r="D78" s="47">
        <f aca="true" t="shared" si="1" ref="D78:F79">D66+D70+D74</f>
        <v>30275</v>
      </c>
      <c r="E78" s="47">
        <f t="shared" si="1"/>
        <v>47300</v>
      </c>
      <c r="F78" s="47">
        <f t="shared" si="1"/>
        <v>52900</v>
      </c>
      <c r="G78" s="23"/>
      <c r="H78" s="8"/>
    </row>
    <row r="79" spans="1:8" ht="13.5" customHeight="1">
      <c r="A79" s="2" t="s">
        <v>109</v>
      </c>
      <c r="B79" s="6"/>
      <c r="C79" s="47">
        <f>C67+C71+C75</f>
        <v>10785</v>
      </c>
      <c r="D79" s="47">
        <f t="shared" si="1"/>
        <v>75837.5</v>
      </c>
      <c r="E79" s="47">
        <f t="shared" si="1"/>
        <v>119750</v>
      </c>
      <c r="F79" s="47">
        <f t="shared" si="1"/>
        <v>135250</v>
      </c>
      <c r="G79" s="23"/>
      <c r="H79" s="7"/>
    </row>
    <row r="80" spans="1:8" ht="13.5" customHeight="1">
      <c r="A80" s="2"/>
      <c r="B80" s="12"/>
      <c r="C80" s="12"/>
      <c r="D80" s="12"/>
      <c r="E80" s="12"/>
      <c r="F80" s="12"/>
      <c r="G80" s="12"/>
      <c r="H80" s="7"/>
    </row>
    <row r="81" spans="1:8" ht="13.5" customHeight="1">
      <c r="A81" s="3" t="s">
        <v>120</v>
      </c>
      <c r="B81" s="12"/>
      <c r="C81" s="12"/>
      <c r="D81" s="12"/>
      <c r="E81" s="12"/>
      <c r="F81" s="12"/>
      <c r="G81" s="12"/>
      <c r="H81" s="7"/>
    </row>
    <row r="82" spans="1:8" ht="13.5" customHeight="1">
      <c r="A82" s="2" t="s">
        <v>118</v>
      </c>
      <c r="B82" s="6"/>
      <c r="C82" s="48">
        <f>C26/Subscriptions!C$5</f>
        <v>365</v>
      </c>
      <c r="D82" s="48">
        <f>D26/Subscriptions!D$5</f>
        <v>365</v>
      </c>
      <c r="E82" s="48">
        <f>E26/Subscriptions!E$5</f>
        <v>365</v>
      </c>
      <c r="F82" s="48">
        <f>F26/Subscriptions!F$5</f>
        <v>365</v>
      </c>
      <c r="G82" s="8"/>
      <c r="H82" s="7"/>
    </row>
    <row r="83" spans="1:8" ht="13.5" customHeight="1">
      <c r="A83" s="2" t="s">
        <v>119</v>
      </c>
      <c r="B83" s="6"/>
      <c r="C83" s="48">
        <f>C27/Subscriptions!C$6</f>
        <v>365</v>
      </c>
      <c r="D83" s="48">
        <f>D27/Subscriptions!D$6</f>
        <v>365</v>
      </c>
      <c r="E83" s="48">
        <f>E27/Subscriptions!E$6</f>
        <v>365</v>
      </c>
      <c r="F83" s="48">
        <f>F27/Subscriptions!F$6</f>
        <v>365</v>
      </c>
      <c r="G83" s="8"/>
      <c r="H83" s="7"/>
    </row>
  </sheetData>
  <sheetProtection/>
  <mergeCells count="2">
    <mergeCell ref="A1:D1"/>
    <mergeCell ref="A25:D25"/>
  </mergeCells>
  <dataValidations count="1">
    <dataValidation type="list" showInputMessage="1" showErrorMessage="1" sqref="L23">
      <formula1>$P$1:$P$2</formula1>
    </dataValidation>
  </dataValidations>
  <printOptions/>
  <pageMargins left="0.75" right="0.75" top="1" bottom="1" header="0.5" footer="0.5"/>
  <pageSetup orientation="landscape"/>
</worksheet>
</file>

<file path=xl/worksheets/sheet8.xml><?xml version="1.0" encoding="utf-8"?>
<worksheet xmlns="http://schemas.openxmlformats.org/spreadsheetml/2006/main" xmlns:r="http://schemas.openxmlformats.org/officeDocument/2006/relationships">
  <dimension ref="A1:R28"/>
  <sheetViews>
    <sheetView zoomScale="125" zoomScaleNormal="125" zoomScalePageLayoutView="0" workbookViewId="0" topLeftCell="A1">
      <selection activeCell="K16" sqref="K16"/>
    </sheetView>
  </sheetViews>
  <sheetFormatPr defaultColWidth="12.00390625" defaultRowHeight="13.5" customHeight="1"/>
  <cols>
    <col min="1" max="5" width="12.00390625" style="0" customWidth="1"/>
    <col min="6" max="6" width="12.7109375" style="0" bestFit="1" customWidth="1"/>
    <col min="7" max="9" width="12.00390625" style="0" customWidth="1"/>
    <col min="10" max="10" width="2.28125" style="52" customWidth="1"/>
  </cols>
  <sheetData>
    <row r="1" spans="1:18" ht="13.5" customHeight="1">
      <c r="A1" s="162" t="s">
        <v>192</v>
      </c>
      <c r="B1" s="162"/>
      <c r="C1" s="162"/>
      <c r="D1" s="162"/>
      <c r="E1" s="162"/>
      <c r="F1" s="162"/>
      <c r="G1" s="9"/>
      <c r="H1" s="9"/>
      <c r="I1" s="9"/>
      <c r="R1" t="s">
        <v>182</v>
      </c>
    </row>
    <row r="2" spans="1:18" ht="13.5" customHeight="1">
      <c r="A2" s="13" t="s">
        <v>190</v>
      </c>
      <c r="B2" s="5"/>
      <c r="C2" s="5"/>
      <c r="D2" s="5"/>
      <c r="E2" s="5"/>
      <c r="F2" s="5"/>
      <c r="G2" s="5"/>
      <c r="H2" s="5"/>
      <c r="I2" s="9"/>
      <c r="R2" t="s">
        <v>162</v>
      </c>
    </row>
    <row r="3" spans="1:11" ht="13.5" customHeight="1">
      <c r="A3" s="5"/>
      <c r="B3" s="5"/>
      <c r="C3" s="5"/>
      <c r="D3" s="5"/>
      <c r="E3" s="5"/>
      <c r="F3" s="5"/>
      <c r="G3" s="5"/>
      <c r="H3" s="5"/>
      <c r="I3" s="9"/>
      <c r="K3" t="s">
        <v>175</v>
      </c>
    </row>
    <row r="4" spans="1:11" ht="13.5" customHeight="1">
      <c r="A4" s="6"/>
      <c r="B4" s="4" t="s">
        <v>259</v>
      </c>
      <c r="C4" s="4" t="s">
        <v>108</v>
      </c>
      <c r="D4" s="4" t="s">
        <v>110</v>
      </c>
      <c r="E4" s="4" t="s">
        <v>111</v>
      </c>
      <c r="F4" s="4" t="s">
        <v>261</v>
      </c>
      <c r="G4" s="4" t="s">
        <v>117</v>
      </c>
      <c r="H4" s="6"/>
      <c r="I4" s="10" t="s">
        <v>127</v>
      </c>
      <c r="K4" t="s">
        <v>176</v>
      </c>
    </row>
    <row r="5" spans="1:11" ht="13.5" customHeight="1">
      <c r="A5" s="6"/>
      <c r="B5" s="6" t="s">
        <v>197</v>
      </c>
      <c r="C5" s="19">
        <f>'Model Comparisons'!B67</f>
        <v>20000</v>
      </c>
      <c r="D5" s="19">
        <f>'Model Comparisons'!C67</f>
        <v>200000</v>
      </c>
      <c r="E5" s="19">
        <f>'Model Comparisons'!D67</f>
        <v>4000000</v>
      </c>
      <c r="F5" s="19">
        <f>'Model Comparisons'!E67</f>
        <v>105000000</v>
      </c>
      <c r="G5" s="6"/>
      <c r="H5" s="6"/>
      <c r="I5" s="27" t="s">
        <v>187</v>
      </c>
      <c r="K5" t="s">
        <v>177</v>
      </c>
    </row>
    <row r="6" spans="1:9" ht="13.5" customHeight="1">
      <c r="A6" s="2"/>
      <c r="B6" s="6" t="s">
        <v>109</v>
      </c>
      <c r="C6" s="19">
        <f>'Model Comparisons'!B68</f>
        <v>50000</v>
      </c>
      <c r="D6" s="19">
        <f>'Model Comparisons'!C68</f>
        <v>500000</v>
      </c>
      <c r="E6" s="19">
        <f>'Model Comparisons'!D68</f>
        <v>10000000</v>
      </c>
      <c r="F6" s="19">
        <f>'Model Comparisons'!E68</f>
        <v>200000000</v>
      </c>
      <c r="G6" s="6"/>
      <c r="H6" s="6"/>
      <c r="I6" s="27" t="s">
        <v>188</v>
      </c>
    </row>
    <row r="7" spans="1:9" ht="13.5" customHeight="1">
      <c r="A7" s="2"/>
      <c r="B7" s="9"/>
      <c r="C7" s="6"/>
      <c r="D7" s="6"/>
      <c r="E7" s="6"/>
      <c r="F7" s="6"/>
      <c r="G7" s="6"/>
      <c r="H7" s="6"/>
      <c r="I7" s="27" t="s">
        <v>189</v>
      </c>
    </row>
    <row r="8" spans="1:11" ht="13.5" customHeight="1">
      <c r="A8" s="18"/>
      <c r="B8" s="9"/>
      <c r="C8" s="9"/>
      <c r="D8" s="9"/>
      <c r="E8" s="9"/>
      <c r="F8" s="9"/>
      <c r="G8" s="6"/>
      <c r="H8" s="6"/>
      <c r="I8" s="9"/>
      <c r="K8" t="s">
        <v>114</v>
      </c>
    </row>
    <row r="9" spans="1:11" ht="13.5" customHeight="1">
      <c r="A9" s="3" t="s">
        <v>108</v>
      </c>
      <c r="B9" s="12"/>
      <c r="C9" s="11"/>
      <c r="D9" s="11"/>
      <c r="E9" s="11"/>
      <c r="F9" s="11"/>
      <c r="G9" s="6"/>
      <c r="H9" s="8"/>
      <c r="I9" s="9"/>
      <c r="K9" t="s">
        <v>256</v>
      </c>
    </row>
    <row r="10" spans="1:9" ht="13.5" customHeight="1">
      <c r="A10" s="2" t="s">
        <v>122</v>
      </c>
      <c r="B10" s="12"/>
      <c r="C10" s="8">
        <f>IF($K$21="DNSSEC",C$5*($K$11+$K$16),C$5*$K$11)</f>
        <v>500000</v>
      </c>
      <c r="D10" s="8">
        <f aca="true" t="shared" si="0" ref="D10:F11">IF($K$21="DNSSEC",D5*($K$11+$K$16),D5*$K$11)</f>
        <v>5000000</v>
      </c>
      <c r="E10" s="8">
        <f t="shared" si="0"/>
        <v>100000000</v>
      </c>
      <c r="F10" s="8">
        <f t="shared" si="0"/>
        <v>2625000000</v>
      </c>
      <c r="G10" s="6"/>
      <c r="H10" s="8"/>
      <c r="I10" s="17"/>
    </row>
    <row r="11" spans="1:11" ht="13.5" customHeight="1">
      <c r="A11" s="2" t="s">
        <v>119</v>
      </c>
      <c r="B11" s="12"/>
      <c r="C11" s="8">
        <f>IF($K$21="DNSSEC",C$6*($K$11+$K$16),C$6*$K$11)</f>
        <v>1250000</v>
      </c>
      <c r="D11" s="8">
        <f t="shared" si="0"/>
        <v>12500000</v>
      </c>
      <c r="E11" s="8">
        <f t="shared" si="0"/>
        <v>250000000</v>
      </c>
      <c r="F11" s="8">
        <f t="shared" si="0"/>
        <v>5000000000</v>
      </c>
      <c r="G11" s="6"/>
      <c r="H11" s="8"/>
      <c r="I11" s="17"/>
      <c r="K11" s="21">
        <f>'Model Comparisons'!A71</f>
        <v>25</v>
      </c>
    </row>
    <row r="12" spans="1:9" ht="13.5" customHeight="1">
      <c r="A12" s="2"/>
      <c r="B12" s="12"/>
      <c r="C12" s="6"/>
      <c r="D12" s="6"/>
      <c r="E12" s="6"/>
      <c r="F12" s="6"/>
      <c r="G12" s="8"/>
      <c r="H12" s="8"/>
      <c r="I12" s="9"/>
    </row>
    <row r="13" spans="1:11" ht="13.5" customHeight="1">
      <c r="A13" s="3" t="s">
        <v>110</v>
      </c>
      <c r="B13" s="12"/>
      <c r="C13" s="11"/>
      <c r="D13" s="11"/>
      <c r="E13" s="11"/>
      <c r="F13" s="11"/>
      <c r="G13" s="8"/>
      <c r="H13" s="8"/>
      <c r="I13" s="9"/>
      <c r="K13" t="s">
        <v>114</v>
      </c>
    </row>
    <row r="14" spans="1:11" ht="13.5" customHeight="1">
      <c r="A14" s="2" t="s">
        <v>197</v>
      </c>
      <c r="B14" s="6"/>
      <c r="C14" s="8">
        <f>IF($K$21="DNSSEC",C$5*($K$11+$K$16),C$5*$K$11)</f>
        <v>500000</v>
      </c>
      <c r="D14" s="8">
        <f>IF($K$21="DNSSEC",D$5*($K$11+$K$16),D$5*$K$11)</f>
        <v>5000000</v>
      </c>
      <c r="E14" s="8">
        <f>IF($K$21="DNSSEC",E$5*($K$11+$K$16),E$5*$K$11)</f>
        <v>100000000</v>
      </c>
      <c r="F14" s="8">
        <f>IF($K$21="DNSSEC",F$5*($K$11+$K$16),F$5*$K$11)</f>
        <v>2625000000</v>
      </c>
      <c r="G14" s="6"/>
      <c r="H14" s="8"/>
      <c r="I14" s="17"/>
      <c r="K14" t="s">
        <v>257</v>
      </c>
    </row>
    <row r="15" spans="1:9" ht="13.5" customHeight="1">
      <c r="A15" s="2" t="s">
        <v>109</v>
      </c>
      <c r="B15" s="6"/>
      <c r="C15" s="8">
        <f>IF($K$21="DNSSEC",C$6*($K$11+$K$16),C$6*$K$11)</f>
        <v>1250000</v>
      </c>
      <c r="D15" s="8">
        <f>IF($K$21="DNSSEC",D$6*($K$11+$K$16),D$6*$K$11)</f>
        <v>12500000</v>
      </c>
      <c r="E15" s="8">
        <f>IF($K$21="DNSSEC",E$6*($K$11+$K$16),E$6*$K$11)</f>
        <v>250000000</v>
      </c>
      <c r="F15" s="8">
        <f>IF($K$21="DNSSEC",F$6*($K$11+$K$16),F$6*$K$11)</f>
        <v>5000000000</v>
      </c>
      <c r="G15" s="6"/>
      <c r="H15" s="8"/>
      <c r="I15" s="17"/>
    </row>
    <row r="16" spans="1:11" ht="13.5" customHeight="1">
      <c r="A16" s="2"/>
      <c r="B16" s="12"/>
      <c r="C16" s="6"/>
      <c r="D16" s="6"/>
      <c r="E16" s="6"/>
      <c r="F16" s="6"/>
      <c r="G16" s="8"/>
      <c r="H16" s="8"/>
      <c r="I16" s="9"/>
      <c r="K16" s="21">
        <f>'Model Comparisons'!A74</f>
        <v>10</v>
      </c>
    </row>
    <row r="17" spans="1:9" ht="13.5" customHeight="1">
      <c r="A17" s="3" t="s">
        <v>111</v>
      </c>
      <c r="B17" s="12"/>
      <c r="C17" s="11"/>
      <c r="D17" s="11"/>
      <c r="E17" s="11"/>
      <c r="F17" s="11"/>
      <c r="G17" s="8"/>
      <c r="H17" s="8"/>
      <c r="I17" s="9"/>
    </row>
    <row r="18" spans="1:9" ht="13.5" customHeight="1">
      <c r="A18" s="2" t="s">
        <v>197</v>
      </c>
      <c r="B18" s="6"/>
      <c r="C18" s="8">
        <f>IF($K$21="DNSSEC",C$5*($K$11+$K$16),C$5*$K$11)</f>
        <v>500000</v>
      </c>
      <c r="D18" s="8">
        <f>IF($K$21="DNSSEC",D$5*($K$11+$K$16),D$5*$K$11)</f>
        <v>5000000</v>
      </c>
      <c r="E18" s="8">
        <f>IF($K$21="DNSSEC",E$5*($K$11+$K$16),E$5*$K$11)</f>
        <v>100000000</v>
      </c>
      <c r="F18" s="8">
        <f>IF($K$21="DNSSEC",F$5*($K$11+$K$16),F$5*$K$11)</f>
        <v>2625000000</v>
      </c>
      <c r="G18" s="6"/>
      <c r="H18" s="8"/>
      <c r="I18" s="17"/>
    </row>
    <row r="19" spans="1:11" ht="13.5" customHeight="1">
      <c r="A19" s="2" t="s">
        <v>109</v>
      </c>
      <c r="B19" s="6"/>
      <c r="C19" s="8">
        <f>IF($K$21="DNSSEC",C$6*($K$11+$K$16),C$6*$K$11)</f>
        <v>1250000</v>
      </c>
      <c r="D19" s="8">
        <f>IF($K$21="DNSSEC",D$6*($K$11+$K$16),D$6*$K$11)</f>
        <v>12500000</v>
      </c>
      <c r="E19" s="8">
        <f>IF($K$21="DNSSEC",E$6*($K$11+$K$16),E$6*$K$11)</f>
        <v>250000000</v>
      </c>
      <c r="F19" s="8">
        <f>IF($K$21="DNSSEC",F$6*($K$11+$K$16),F$6*$K$11)</f>
        <v>5000000000</v>
      </c>
      <c r="G19" s="6"/>
      <c r="H19" s="6"/>
      <c r="I19" s="17"/>
      <c r="K19" t="s">
        <v>161</v>
      </c>
    </row>
    <row r="20" spans="1:11" ht="13.5" customHeight="1">
      <c r="A20" s="2"/>
      <c r="B20" s="12"/>
      <c r="C20" s="12"/>
      <c r="D20" s="12"/>
      <c r="E20" s="12"/>
      <c r="F20" s="12"/>
      <c r="G20" s="6"/>
      <c r="H20" s="8"/>
      <c r="I20" s="9"/>
      <c r="K20" t="s">
        <v>181</v>
      </c>
    </row>
    <row r="21" spans="1:11" ht="13.5" customHeight="1">
      <c r="A21" s="3" t="s">
        <v>121</v>
      </c>
      <c r="B21" s="12"/>
      <c r="C21" s="8"/>
      <c r="D21" s="8"/>
      <c r="E21" s="8"/>
      <c r="F21" s="8"/>
      <c r="G21" s="8"/>
      <c r="H21" s="8"/>
      <c r="I21" s="9"/>
      <c r="K21" t="str">
        <f>IF('Model Comparisons'!A77,"DNSSEC","No DNSSEC")</f>
        <v>No DNSSEC</v>
      </c>
    </row>
    <row r="22" spans="1:9" ht="13.5" customHeight="1">
      <c r="A22" s="2" t="s">
        <v>197</v>
      </c>
      <c r="B22" s="6"/>
      <c r="C22" s="8"/>
      <c r="D22" s="8"/>
      <c r="E22" s="8"/>
      <c r="F22" s="8"/>
      <c r="G22" s="6"/>
      <c r="H22" s="8"/>
      <c r="I22" s="8"/>
    </row>
    <row r="23" spans="1:9" ht="13.5" customHeight="1">
      <c r="A23" s="2" t="s">
        <v>109</v>
      </c>
      <c r="B23" s="6"/>
      <c r="C23" s="8"/>
      <c r="D23" s="8"/>
      <c r="E23" s="8"/>
      <c r="F23" s="8"/>
      <c r="G23" s="6"/>
      <c r="H23" s="7"/>
      <c r="I23" s="8"/>
    </row>
    <row r="24" spans="1:9" ht="13.5" customHeight="1">
      <c r="A24" s="2"/>
      <c r="B24" s="12"/>
      <c r="C24" s="9"/>
      <c r="D24" s="9"/>
      <c r="E24" s="9"/>
      <c r="F24" s="9"/>
      <c r="G24" s="12"/>
      <c r="H24" s="7"/>
      <c r="I24" s="12"/>
    </row>
    <row r="25" spans="1:9" ht="13.5" customHeight="1">
      <c r="A25" s="164" t="s">
        <v>186</v>
      </c>
      <c r="B25" s="164"/>
      <c r="C25" s="164"/>
      <c r="D25" s="164"/>
      <c r="E25" s="9"/>
      <c r="F25" s="9"/>
      <c r="G25" s="12"/>
      <c r="H25" s="7"/>
      <c r="I25" s="12"/>
    </row>
    <row r="26" spans="1:9" ht="13.5" customHeight="1">
      <c r="A26" s="2" t="s">
        <v>118</v>
      </c>
      <c r="B26" s="12"/>
      <c r="C26" s="8">
        <f aca="true" t="shared" si="1" ref="C26:F27">C5*$K$11</f>
        <v>500000</v>
      </c>
      <c r="D26" s="8">
        <f t="shared" si="1"/>
        <v>5000000</v>
      </c>
      <c r="E26" s="8">
        <f t="shared" si="1"/>
        <v>100000000</v>
      </c>
      <c r="F26" s="8">
        <f t="shared" si="1"/>
        <v>2625000000</v>
      </c>
      <c r="G26" s="8"/>
      <c r="H26" s="7"/>
      <c r="I26" s="20"/>
    </row>
    <row r="27" spans="1:9" ht="13.5" customHeight="1">
      <c r="A27" s="2" t="s">
        <v>119</v>
      </c>
      <c r="B27" s="12"/>
      <c r="C27" s="8">
        <f t="shared" si="1"/>
        <v>1250000</v>
      </c>
      <c r="D27" s="8">
        <f t="shared" si="1"/>
        <v>12500000</v>
      </c>
      <c r="E27" s="8">
        <f t="shared" si="1"/>
        <v>250000000</v>
      </c>
      <c r="F27" s="8">
        <f t="shared" si="1"/>
        <v>5000000000</v>
      </c>
      <c r="G27" s="8"/>
      <c r="H27" s="7"/>
      <c r="I27" s="20"/>
    </row>
    <row r="28" spans="7:9" ht="13.5" customHeight="1">
      <c r="G28" s="1"/>
      <c r="H28" s="1"/>
      <c r="I28" s="1"/>
    </row>
  </sheetData>
  <sheetProtection/>
  <mergeCells count="2">
    <mergeCell ref="A25:D25"/>
    <mergeCell ref="A1:F1"/>
  </mergeCells>
  <printOptions/>
  <pageMargins left="0.75" right="0.75" top="1" bottom="1" header="0.5" footer="0.5"/>
  <pageSetup orientation="landscape"/>
</worksheet>
</file>

<file path=xl/worksheets/sheet9.xml><?xml version="1.0" encoding="utf-8"?>
<worksheet xmlns="http://schemas.openxmlformats.org/spreadsheetml/2006/main" xmlns:r="http://schemas.openxmlformats.org/officeDocument/2006/relationships">
  <dimension ref="A1:R83"/>
  <sheetViews>
    <sheetView zoomScale="125" zoomScaleNormal="125" zoomScalePageLayoutView="0" workbookViewId="0" topLeftCell="A1">
      <selection activeCell="L15" sqref="L15"/>
    </sheetView>
  </sheetViews>
  <sheetFormatPr defaultColWidth="12.00390625" defaultRowHeight="13.5" customHeight="1"/>
  <cols>
    <col min="1" max="9" width="12.00390625" style="0" customWidth="1"/>
    <col min="10" max="10" width="2.421875" style="52" customWidth="1"/>
    <col min="11" max="11" width="12.8515625" style="0" customWidth="1"/>
  </cols>
  <sheetData>
    <row r="1" spans="1:18" ht="13.5" customHeight="1">
      <c r="A1" s="162" t="s">
        <v>179</v>
      </c>
      <c r="B1" s="162"/>
      <c r="C1" s="162"/>
      <c r="D1" s="162"/>
      <c r="E1" s="162"/>
      <c r="F1" s="162"/>
      <c r="G1" s="162"/>
      <c r="H1" s="9"/>
      <c r="I1" s="9"/>
      <c r="K1" s="38" t="s">
        <v>62</v>
      </c>
      <c r="R1" t="s">
        <v>51</v>
      </c>
    </row>
    <row r="2" spans="1:18" ht="13.5" customHeight="1">
      <c r="A2" s="13" t="s">
        <v>80</v>
      </c>
      <c r="B2" s="5"/>
      <c r="C2" s="5"/>
      <c r="D2" s="5"/>
      <c r="E2" s="5"/>
      <c r="F2" s="5"/>
      <c r="G2" s="5"/>
      <c r="H2" s="5"/>
      <c r="I2" s="9"/>
      <c r="R2" t="s">
        <v>52</v>
      </c>
    </row>
    <row r="3" spans="1:14" ht="13.5" customHeight="1">
      <c r="A3" s="5"/>
      <c r="B3" s="5"/>
      <c r="C3" s="5"/>
      <c r="D3" s="5"/>
      <c r="E3" s="5"/>
      <c r="F3" s="5"/>
      <c r="G3" s="5"/>
      <c r="H3" s="5"/>
      <c r="I3" s="9"/>
      <c r="L3" s="41" t="s">
        <v>63</v>
      </c>
      <c r="M3" s="41" t="s">
        <v>64</v>
      </c>
      <c r="N3" s="41" t="s">
        <v>65</v>
      </c>
    </row>
    <row r="4" spans="1:14" ht="13.5" customHeight="1">
      <c r="A4" s="6"/>
      <c r="B4" s="4" t="s">
        <v>115</v>
      </c>
      <c r="C4" s="4" t="s">
        <v>108</v>
      </c>
      <c r="D4" s="4" t="s">
        <v>110</v>
      </c>
      <c r="E4" s="4" t="s">
        <v>111</v>
      </c>
      <c r="F4" s="4" t="s">
        <v>261</v>
      </c>
      <c r="G4" s="4" t="s">
        <v>117</v>
      </c>
      <c r="H4" s="31"/>
      <c r="I4" s="10" t="s">
        <v>127</v>
      </c>
      <c r="K4" s="38" t="s">
        <v>69</v>
      </c>
      <c r="L4" s="40">
        <v>101361</v>
      </c>
      <c r="M4" s="40">
        <v>8995</v>
      </c>
      <c r="N4" s="40">
        <v>130</v>
      </c>
    </row>
    <row r="5" spans="1:14" ht="13.5" customHeight="1">
      <c r="A5" s="6"/>
      <c r="B5" s="6"/>
      <c r="C5" s="22"/>
      <c r="D5" s="22"/>
      <c r="E5" s="22"/>
      <c r="F5" s="22"/>
      <c r="G5" s="6"/>
      <c r="H5" s="31"/>
      <c r="I5" s="27" t="s">
        <v>187</v>
      </c>
      <c r="K5" s="38" t="s">
        <v>163</v>
      </c>
      <c r="L5" s="40">
        <v>60707</v>
      </c>
      <c r="M5" s="40">
        <v>4557</v>
      </c>
      <c r="N5" s="40">
        <v>64</v>
      </c>
    </row>
    <row r="6" spans="1:14" ht="13.5" customHeight="1">
      <c r="A6" s="2"/>
      <c r="B6" s="6"/>
      <c r="C6" s="22"/>
      <c r="D6" s="22"/>
      <c r="E6" s="22"/>
      <c r="F6" s="22"/>
      <c r="G6" s="6"/>
      <c r="H6" s="31"/>
      <c r="I6" s="27" t="s">
        <v>188</v>
      </c>
      <c r="K6" s="38" t="s">
        <v>263</v>
      </c>
      <c r="L6" s="40">
        <v>94779</v>
      </c>
      <c r="M6" s="40">
        <v>8065</v>
      </c>
      <c r="N6" s="40">
        <v>67</v>
      </c>
    </row>
    <row r="7" spans="1:11" ht="13.5" customHeight="1">
      <c r="A7" s="2"/>
      <c r="B7" s="9"/>
      <c r="C7" s="6"/>
      <c r="D7" s="6"/>
      <c r="E7" s="6"/>
      <c r="F7" s="6"/>
      <c r="G7" s="6"/>
      <c r="H7" s="31"/>
      <c r="I7" s="27" t="s">
        <v>189</v>
      </c>
      <c r="K7" s="38"/>
    </row>
    <row r="8" spans="1:14" ht="13.5" customHeight="1">
      <c r="A8" s="18" t="s">
        <v>198</v>
      </c>
      <c r="B8" s="9"/>
      <c r="C8" s="12"/>
      <c r="D8" s="12"/>
      <c r="E8" s="12"/>
      <c r="F8" s="12"/>
      <c r="G8" s="6"/>
      <c r="H8" s="31"/>
      <c r="I8" s="12"/>
      <c r="K8" s="38" t="s">
        <v>264</v>
      </c>
      <c r="L8" s="40">
        <f>SUM(L4:L6)</f>
        <v>256847</v>
      </c>
      <c r="M8" s="40">
        <f>SUM(M4:M6)</f>
        <v>21617</v>
      </c>
      <c r="N8" s="40">
        <f>SUM(N4:N6)</f>
        <v>261</v>
      </c>
    </row>
    <row r="9" spans="1:14" ht="13.5" customHeight="1">
      <c r="A9" s="3" t="s">
        <v>108</v>
      </c>
      <c r="B9" s="12"/>
      <c r="C9" s="11"/>
      <c r="D9" s="11"/>
      <c r="E9" s="11"/>
      <c r="F9" s="11"/>
      <c r="G9" s="6"/>
      <c r="H9" s="32"/>
      <c r="I9" s="12"/>
      <c r="K9" s="38" t="s">
        <v>265</v>
      </c>
      <c r="L9" s="40">
        <v>84526912</v>
      </c>
      <c r="M9" s="40">
        <v>7994198</v>
      </c>
      <c r="N9" s="40">
        <v>216582</v>
      </c>
    </row>
    <row r="10" spans="1:11" ht="13.5" customHeight="1">
      <c r="A10" s="2" t="s">
        <v>122</v>
      </c>
      <c r="B10" s="12"/>
      <c r="C10" s="23">
        <f>'Files per year'!C10*'ZF size'!C10/1000000000</f>
        <v>0.24</v>
      </c>
      <c r="D10" s="23">
        <f>'Files per year'!D10*'ZF size'!D10/1000000000</f>
        <v>9.000000000000002</v>
      </c>
      <c r="E10" s="23">
        <f>'Files per year'!E10*'ZF size'!E10/1000000000</f>
        <v>900</v>
      </c>
      <c r="F10" s="23">
        <f>'Files per year'!F10*'ZF size'!F10/1000000000</f>
        <v>15750</v>
      </c>
      <c r="G10" s="23">
        <f>SUM(C10:F10)</f>
        <v>16659.24</v>
      </c>
      <c r="H10" s="32"/>
      <c r="I10" s="20">
        <f>IF($L$30="Diffs file",G10*$K$14,G10)</f>
        <v>16659.24</v>
      </c>
      <c r="K10" s="38"/>
    </row>
    <row r="11" spans="1:14" ht="13.5" customHeight="1">
      <c r="A11" s="2" t="s">
        <v>119</v>
      </c>
      <c r="B11" s="12"/>
      <c r="C11" s="23">
        <f>'Files per year'!C11*'ZF size'!C11/1000000000</f>
        <v>225</v>
      </c>
      <c r="D11" s="23">
        <f>'Files per year'!D11*'ZF size'!D11/1000000000</f>
        <v>1125</v>
      </c>
      <c r="E11" s="23">
        <f>'Files per year'!E11*'ZF size'!E11/1000000000</f>
        <v>22500</v>
      </c>
      <c r="F11" s="23">
        <f>'Files per year'!F11*'ZF size'!F11/1000000000</f>
        <v>90000</v>
      </c>
      <c r="G11" s="23">
        <f>SUM(C11:F11)</f>
        <v>113850</v>
      </c>
      <c r="H11" s="32"/>
      <c r="I11" s="20">
        <f>IF($L$30="Diffs file",G11*$K$14,G11)</f>
        <v>113850</v>
      </c>
      <c r="K11" s="38" t="s">
        <v>266</v>
      </c>
      <c r="L11" s="42">
        <f>L8/L9</f>
        <v>0.0030386417050228924</v>
      </c>
      <c r="M11" s="42">
        <f>M8/M9</f>
        <v>0.0027040861384719267</v>
      </c>
      <c r="N11" s="42">
        <f>N8/N9</f>
        <v>0.001205086295259994</v>
      </c>
    </row>
    <row r="12" spans="1:9" ht="13.5" customHeight="1">
      <c r="A12" s="2"/>
      <c r="B12" s="12"/>
      <c r="C12" s="23"/>
      <c r="D12" s="23"/>
      <c r="E12" s="23"/>
      <c r="F12" s="23"/>
      <c r="G12" s="23"/>
      <c r="H12" s="32"/>
      <c r="I12" s="12"/>
    </row>
    <row r="13" spans="1:11" ht="13.5" customHeight="1">
      <c r="A13" s="3" t="s">
        <v>110</v>
      </c>
      <c r="B13" s="12"/>
      <c r="C13" s="23"/>
      <c r="D13" s="23"/>
      <c r="E13" s="23"/>
      <c r="F13" s="23"/>
      <c r="G13" s="23"/>
      <c r="H13" s="32"/>
      <c r="I13" s="12"/>
      <c r="K13" s="38" t="s">
        <v>66</v>
      </c>
    </row>
    <row r="14" spans="1:11" ht="13.5" customHeight="1">
      <c r="A14" s="2" t="s">
        <v>197</v>
      </c>
      <c r="B14" s="6"/>
      <c r="C14" s="23">
        <f>'Files per year'!C14*'ZF size'!C14/1000000000</f>
        <v>1.04</v>
      </c>
      <c r="D14" s="23">
        <f>'Files per year'!D14*'ZF size'!D14/1000000000</f>
        <v>78</v>
      </c>
      <c r="E14" s="23">
        <f>'Files per year'!E14*'ZF size'!E14/1000000000</f>
        <v>2340</v>
      </c>
      <c r="F14" s="23">
        <f>'Files per year'!F14*'ZF size'!F14/1000000000</f>
        <v>27300</v>
      </c>
      <c r="G14" s="23">
        <f>SUM(C14:F14)</f>
        <v>29719.04</v>
      </c>
      <c r="H14" s="32"/>
      <c r="I14" s="20">
        <f>IF($L$30="Diffs file",G14*$K$14,G14)</f>
        <v>29719.04</v>
      </c>
      <c r="K14" s="43">
        <v>0.003</v>
      </c>
    </row>
    <row r="15" spans="1:9" ht="13.5" customHeight="1">
      <c r="A15" s="2" t="s">
        <v>109</v>
      </c>
      <c r="B15" s="6"/>
      <c r="C15" s="23">
        <f>'Files per year'!C15*'ZF size'!C15/1000000000</f>
        <v>812.5</v>
      </c>
      <c r="D15" s="23">
        <f>'Files per year'!D15*'ZF size'!D15/1000000000</f>
        <v>8125</v>
      </c>
      <c r="E15" s="23">
        <f>'Files per year'!E15*'ZF size'!E15/1000000000</f>
        <v>48750</v>
      </c>
      <c r="F15" s="23">
        <f>'Files per year'!F15*'ZF size'!F15/1000000000</f>
        <v>130000</v>
      </c>
      <c r="G15" s="23">
        <f>SUM(C15:F15)</f>
        <v>187687.5</v>
      </c>
      <c r="H15" s="32"/>
      <c r="I15" s="20">
        <f>IF($L$30="Diffs file",G15*$K$14,G15)</f>
        <v>187687.5</v>
      </c>
    </row>
    <row r="16" spans="1:11" ht="13.5" customHeight="1">
      <c r="A16" s="2"/>
      <c r="B16" s="12"/>
      <c r="C16" s="23"/>
      <c r="D16" s="23"/>
      <c r="E16" s="23"/>
      <c r="F16" s="23"/>
      <c r="G16" s="23"/>
      <c r="H16" s="32"/>
      <c r="I16" s="12"/>
      <c r="K16" t="s">
        <v>145</v>
      </c>
    </row>
    <row r="17" spans="1:11" ht="13.5" customHeight="1">
      <c r="A17" s="3" t="s">
        <v>111</v>
      </c>
      <c r="B17" s="12"/>
      <c r="C17" s="23"/>
      <c r="D17" s="23"/>
      <c r="E17" s="23"/>
      <c r="F17" s="23"/>
      <c r="G17" s="23"/>
      <c r="H17" s="32"/>
      <c r="I17" s="12"/>
      <c r="K17" t="s">
        <v>146</v>
      </c>
    </row>
    <row r="18" spans="1:11" ht="13.5" customHeight="1">
      <c r="A18" s="2" t="s">
        <v>197</v>
      </c>
      <c r="B18" s="6"/>
      <c r="C18" s="23">
        <f>'Files per year'!C18*'ZF size'!C18/1000000000</f>
        <v>7.3</v>
      </c>
      <c r="D18" s="23">
        <f>'Files per year'!D18*'ZF size'!D18/1000000000</f>
        <v>821.25</v>
      </c>
      <c r="E18" s="23">
        <f>'Files per year'!E18*'ZF size'!E18/1000000000</f>
        <v>10950</v>
      </c>
      <c r="F18" s="23">
        <f>'Files per year'!F18*'ZF size'!F18/1000000000</f>
        <v>95812.5</v>
      </c>
      <c r="G18" s="23">
        <f>SUM(C18:F18)</f>
        <v>107591.05</v>
      </c>
      <c r="H18" s="32"/>
      <c r="I18" s="20">
        <f>IF($L$30="Diffs file",G18*$K$14,G18)</f>
        <v>107591.05</v>
      </c>
      <c r="K18" t="s">
        <v>147</v>
      </c>
    </row>
    <row r="19" spans="1:9" ht="13.5" customHeight="1">
      <c r="A19" s="2" t="s">
        <v>109</v>
      </c>
      <c r="B19" s="6"/>
      <c r="C19" s="23">
        <f>'Files per year'!C19*'ZF size'!C19/1000000000</f>
        <v>5703.125</v>
      </c>
      <c r="D19" s="23">
        <f>'Files per year'!D19*'ZF size'!D19/1000000000</f>
        <v>85546.875</v>
      </c>
      <c r="E19" s="23">
        <f>'Files per year'!E19*'ZF size'!E19/1000000000</f>
        <v>228125</v>
      </c>
      <c r="F19" s="23">
        <f>'Files per year'!F19*'ZF size'!F19/1000000000</f>
        <v>456250</v>
      </c>
      <c r="G19" s="23">
        <f>SUM(C19:F19)</f>
        <v>775625</v>
      </c>
      <c r="H19" s="31"/>
      <c r="I19" s="20">
        <f>IF($L$30="Diffs file",G19*$K$14,G19)</f>
        <v>775625</v>
      </c>
    </row>
    <row r="20" spans="1:14" ht="13.5" customHeight="1">
      <c r="A20" s="2"/>
      <c r="B20" s="12"/>
      <c r="C20" s="24"/>
      <c r="D20" s="24"/>
      <c r="E20" s="24"/>
      <c r="F20" s="24"/>
      <c r="G20" s="23"/>
      <c r="H20" s="32"/>
      <c r="I20" s="12"/>
      <c r="K20" s="52"/>
      <c r="L20" s="52"/>
      <c r="M20" s="52"/>
      <c r="N20" s="52"/>
    </row>
    <row r="21" spans="1:11" ht="13.5" customHeight="1">
      <c r="A21" s="3" t="s">
        <v>121</v>
      </c>
      <c r="B21" s="12"/>
      <c r="C21" s="23"/>
      <c r="D21" s="23"/>
      <c r="E21" s="23"/>
      <c r="F21" s="23"/>
      <c r="G21" s="23"/>
      <c r="H21" s="32"/>
      <c r="I21" s="12"/>
      <c r="K21" s="38" t="s">
        <v>180</v>
      </c>
    </row>
    <row r="22" spans="1:9" ht="13.5" customHeight="1">
      <c r="A22" s="2" t="s">
        <v>197</v>
      </c>
      <c r="B22" s="6"/>
      <c r="C22" s="23">
        <f>C10+C14+C18</f>
        <v>8.58</v>
      </c>
      <c r="D22" s="23">
        <f aca="true" t="shared" si="0" ref="D22:F23">D10+D14+D18</f>
        <v>908.25</v>
      </c>
      <c r="E22" s="23">
        <f t="shared" si="0"/>
        <v>14190</v>
      </c>
      <c r="F22" s="23">
        <f t="shared" si="0"/>
        <v>138862.5</v>
      </c>
      <c r="G22" s="47">
        <f>SUM(C22:F22)</f>
        <v>153969.33</v>
      </c>
      <c r="H22" s="32"/>
      <c r="I22" s="20">
        <f>IF($L$30="Diffs file",G22*$K$14,G22)</f>
        <v>153969.33</v>
      </c>
    </row>
    <row r="23" spans="1:11" ht="13.5" customHeight="1">
      <c r="A23" s="2" t="s">
        <v>109</v>
      </c>
      <c r="B23" s="6"/>
      <c r="C23" s="23">
        <f>C11+C15+C19</f>
        <v>6740.625</v>
      </c>
      <c r="D23" s="23">
        <f t="shared" si="0"/>
        <v>94796.875</v>
      </c>
      <c r="E23" s="23">
        <f t="shared" si="0"/>
        <v>299375</v>
      </c>
      <c r="F23" s="23">
        <f t="shared" si="0"/>
        <v>676250</v>
      </c>
      <c r="G23" s="47">
        <f>SUM(C23:F23)</f>
        <v>1077162.5</v>
      </c>
      <c r="H23" s="45"/>
      <c r="I23" s="20">
        <f>IF($L$30="Diffs file",G23*$K$14,G23)</f>
        <v>1077162.5</v>
      </c>
      <c r="K23" t="s">
        <v>87</v>
      </c>
    </row>
    <row r="24" spans="1:11" ht="13.5" customHeight="1">
      <c r="A24" s="29"/>
      <c r="B24" s="44"/>
      <c r="C24" s="44"/>
      <c r="D24" s="44"/>
      <c r="E24" s="44"/>
      <c r="F24" s="44"/>
      <c r="G24" s="44"/>
      <c r="H24" s="46"/>
      <c r="I24" s="12"/>
      <c r="K24" t="s">
        <v>183</v>
      </c>
    </row>
    <row r="25" spans="1:11" ht="13.5" customHeight="1">
      <c r="A25" s="164" t="s">
        <v>186</v>
      </c>
      <c r="B25" s="164"/>
      <c r="C25" s="164"/>
      <c r="D25" s="164"/>
      <c r="E25" s="12"/>
      <c r="F25" s="12"/>
      <c r="G25" s="12"/>
      <c r="H25" s="7"/>
      <c r="I25" s="12"/>
      <c r="K25" t="s">
        <v>184</v>
      </c>
    </row>
    <row r="26" spans="1:11" ht="13.5" customHeight="1">
      <c r="A26" s="2" t="s">
        <v>118</v>
      </c>
      <c r="B26" s="6"/>
      <c r="C26" s="23">
        <f>'Files per year'!C26*'ZF size'!C26/1000000000</f>
        <v>0.73</v>
      </c>
      <c r="D26" s="23">
        <f>'Files per year'!D26*'ZF size'!D26/1000000000</f>
        <v>10.95</v>
      </c>
      <c r="E26" s="23">
        <f>'Files per year'!E26*'ZF size'!E26/1000000000</f>
        <v>109.5</v>
      </c>
      <c r="F26" s="23">
        <f>'Files per year'!F26*'ZF size'!F26/1000000000</f>
        <v>958.125</v>
      </c>
      <c r="G26" s="8">
        <f>SUM(C26:F26)</f>
        <v>1079.305</v>
      </c>
      <c r="H26" s="7"/>
      <c r="I26" s="49">
        <f>I22+G26</f>
        <v>155048.63499999998</v>
      </c>
      <c r="K26" t="s">
        <v>48</v>
      </c>
    </row>
    <row r="27" spans="1:11" ht="13.5" customHeight="1">
      <c r="A27" s="2" t="s">
        <v>119</v>
      </c>
      <c r="B27" s="6"/>
      <c r="C27" s="23">
        <f>'Files per year'!C27*'ZF size'!C27/1000000000</f>
        <v>228.125</v>
      </c>
      <c r="D27" s="23">
        <f>'Files per year'!D27*'ZF size'!D27/1000000000</f>
        <v>456.25</v>
      </c>
      <c r="E27" s="23">
        <f>'Files per year'!E27*'ZF size'!E27/1000000000</f>
        <v>912.5</v>
      </c>
      <c r="F27" s="23">
        <f>'Files per year'!F27*'ZF size'!F27/1000000000</f>
        <v>1825</v>
      </c>
      <c r="G27" s="8">
        <f>SUM(C27:F27)</f>
        <v>3421.875</v>
      </c>
      <c r="H27" s="7"/>
      <c r="I27" s="49">
        <f>I23+G27</f>
        <v>1080584.375</v>
      </c>
      <c r="K27" t="s">
        <v>49</v>
      </c>
    </row>
    <row r="29" ht="13.5" customHeight="1">
      <c r="K29" t="s">
        <v>53</v>
      </c>
    </row>
    <row r="30" spans="1:12" ht="13.5" customHeight="1">
      <c r="A30" s="13" t="s">
        <v>68</v>
      </c>
      <c r="K30" t="s">
        <v>50</v>
      </c>
      <c r="L30" s="57" t="s">
        <v>103</v>
      </c>
    </row>
    <row r="32" spans="1:9" ht="13.5" customHeight="1">
      <c r="A32" s="6"/>
      <c r="B32" s="4" t="s">
        <v>115</v>
      </c>
      <c r="C32" s="4" t="s">
        <v>108</v>
      </c>
      <c r="D32" s="4" t="s">
        <v>110</v>
      </c>
      <c r="E32" s="4" t="s">
        <v>111</v>
      </c>
      <c r="F32" s="4" t="s">
        <v>261</v>
      </c>
      <c r="G32" s="4" t="s">
        <v>117</v>
      </c>
      <c r="H32" s="6"/>
      <c r="I32" s="10" t="s">
        <v>127</v>
      </c>
    </row>
    <row r="33" spans="1:11" ht="13.5" customHeight="1">
      <c r="A33" s="6"/>
      <c r="B33" s="6"/>
      <c r="C33" s="22"/>
      <c r="D33" s="22"/>
      <c r="E33" s="22"/>
      <c r="F33" s="22"/>
      <c r="G33" s="6"/>
      <c r="H33" s="6"/>
      <c r="I33" s="27" t="s">
        <v>187</v>
      </c>
      <c r="K33" s="38" t="s">
        <v>156</v>
      </c>
    </row>
    <row r="34" spans="1:11" ht="13.5" customHeight="1">
      <c r="A34" s="2"/>
      <c r="B34" s="6"/>
      <c r="C34" s="22"/>
      <c r="D34" s="22"/>
      <c r="E34" s="22"/>
      <c r="F34" s="22"/>
      <c r="G34" s="6"/>
      <c r="H34" s="6"/>
      <c r="I34" s="27" t="s">
        <v>188</v>
      </c>
      <c r="K34" s="38"/>
    </row>
    <row r="35" spans="1:11" ht="13.5" customHeight="1">
      <c r="A35" s="2"/>
      <c r="B35" s="9"/>
      <c r="C35" s="6"/>
      <c r="D35" s="6"/>
      <c r="E35" s="6"/>
      <c r="F35" s="6"/>
      <c r="G35" s="6"/>
      <c r="H35" s="6"/>
      <c r="I35" s="27" t="s">
        <v>189</v>
      </c>
      <c r="K35" s="38" t="s">
        <v>155</v>
      </c>
    </row>
    <row r="36" spans="1:11" ht="13.5" customHeight="1">
      <c r="A36" s="18" t="s">
        <v>198</v>
      </c>
      <c r="B36" s="9"/>
      <c r="C36" s="12"/>
      <c r="D36" s="12"/>
      <c r="E36" s="12"/>
      <c r="F36" s="12"/>
      <c r="G36" s="6"/>
      <c r="H36" s="6"/>
      <c r="I36" s="12"/>
      <c r="K36" s="38" t="s">
        <v>195</v>
      </c>
    </row>
    <row r="37" spans="1:9" ht="13.5" customHeight="1">
      <c r="A37" s="3" t="s">
        <v>108</v>
      </c>
      <c r="B37" s="12"/>
      <c r="C37" s="11"/>
      <c r="D37" s="11"/>
      <c r="E37" s="11"/>
      <c r="F37" s="11"/>
      <c r="G37" s="6"/>
      <c r="H37" s="8"/>
      <c r="I37" s="12"/>
    </row>
    <row r="38" spans="1:9" ht="13.5" customHeight="1">
      <c r="A38" s="2" t="s">
        <v>122</v>
      </c>
      <c r="B38" s="12"/>
      <c r="C38" s="35">
        <f>C10/Subscriptions!$B10</f>
        <v>0.00047999999999999996</v>
      </c>
      <c r="D38" s="35">
        <f>D10/Subscriptions!$B10</f>
        <v>0.018000000000000002</v>
      </c>
      <c r="E38" s="35">
        <f>E10/Subscriptions!$B10</f>
        <v>1.8</v>
      </c>
      <c r="F38" s="35">
        <f>F10/Subscriptions!$B10</f>
        <v>31.5</v>
      </c>
      <c r="G38" s="47">
        <f>SUM(C38:F38)</f>
        <v>33.31848</v>
      </c>
      <c r="H38" s="8"/>
      <c r="I38" s="70">
        <f>IF($L$30="Diffs file",G38*$K$14,G38)</f>
        <v>33.31848</v>
      </c>
    </row>
    <row r="39" spans="1:9" ht="13.5" customHeight="1">
      <c r="A39" s="2" t="s">
        <v>119</v>
      </c>
      <c r="B39" s="12"/>
      <c r="C39" s="35">
        <f>C11/Subscriptions!$B11</f>
        <v>0.15</v>
      </c>
      <c r="D39" s="35">
        <f>D11/Subscriptions!$B11</f>
        <v>0.75</v>
      </c>
      <c r="E39" s="35">
        <f>E11/Subscriptions!$B11</f>
        <v>15</v>
      </c>
      <c r="F39" s="35">
        <f>F11/Subscriptions!$B11</f>
        <v>60</v>
      </c>
      <c r="G39" s="47">
        <f>SUM(C39:F39)</f>
        <v>75.9</v>
      </c>
      <c r="H39" s="8"/>
      <c r="I39" s="70">
        <f>IF($L$30="Diffs file",G39*$K$14,G39)</f>
        <v>75.9</v>
      </c>
    </row>
    <row r="40" spans="1:9" ht="13.5" customHeight="1">
      <c r="A40" s="2"/>
      <c r="B40" s="12"/>
      <c r="C40" s="23"/>
      <c r="D40" s="23"/>
      <c r="E40" s="23"/>
      <c r="F40" s="23"/>
      <c r="G40" s="36"/>
      <c r="H40" s="8"/>
      <c r="I40" s="12"/>
    </row>
    <row r="41" spans="1:9" ht="13.5" customHeight="1">
      <c r="A41" s="3" t="s">
        <v>110</v>
      </c>
      <c r="B41" s="12"/>
      <c r="C41" s="23"/>
      <c r="D41" s="23"/>
      <c r="E41" s="23"/>
      <c r="F41" s="23"/>
      <c r="G41" s="36"/>
      <c r="H41" s="8"/>
      <c r="I41" s="12"/>
    </row>
    <row r="42" spans="1:9" ht="13.5" customHeight="1">
      <c r="A42" s="2" t="s">
        <v>197</v>
      </c>
      <c r="B42" s="6"/>
      <c r="C42" s="35">
        <f>C14/Subscriptions!$B14</f>
        <v>0.0052</v>
      </c>
      <c r="D42" s="35">
        <f>D14/Subscriptions!$B14</f>
        <v>0.39</v>
      </c>
      <c r="E42" s="35">
        <f>E14/Subscriptions!$B14</f>
        <v>11.7</v>
      </c>
      <c r="F42" s="35">
        <f>F14/Subscriptions!$B14</f>
        <v>136.5</v>
      </c>
      <c r="G42" s="47">
        <f>SUM(C42:F42)</f>
        <v>148.5952</v>
      </c>
      <c r="H42" s="8"/>
      <c r="I42" s="70">
        <f>IF($L$30="Diffs file",G42*$K$14,G42)</f>
        <v>148.5952</v>
      </c>
    </row>
    <row r="43" spans="1:9" ht="13.5" customHeight="1">
      <c r="A43" s="2" t="s">
        <v>109</v>
      </c>
      <c r="B43" s="6"/>
      <c r="C43" s="35">
        <f>C15/Subscriptions!$B15</f>
        <v>1.625</v>
      </c>
      <c r="D43" s="35">
        <f>D15/Subscriptions!$B15</f>
        <v>16.25</v>
      </c>
      <c r="E43" s="35">
        <f>E15/Subscriptions!$B15</f>
        <v>97.5</v>
      </c>
      <c r="F43" s="35">
        <f>F15/Subscriptions!$B15</f>
        <v>260</v>
      </c>
      <c r="G43" s="47">
        <f>SUM(C43:F43)</f>
        <v>375.375</v>
      </c>
      <c r="H43" s="8"/>
      <c r="I43" s="70">
        <f>IF($L$30="Diffs file",G43*$K$14,G43)</f>
        <v>375.375</v>
      </c>
    </row>
    <row r="44" spans="1:9" ht="13.5" customHeight="1">
      <c r="A44" s="2"/>
      <c r="B44" s="12"/>
      <c r="C44" s="23"/>
      <c r="D44" s="23"/>
      <c r="E44" s="23"/>
      <c r="F44" s="23"/>
      <c r="G44" s="36"/>
      <c r="H44" s="8"/>
      <c r="I44" s="12"/>
    </row>
    <row r="45" spans="1:9" ht="13.5" customHeight="1">
      <c r="A45" s="3" t="s">
        <v>111</v>
      </c>
      <c r="B45" s="12"/>
      <c r="C45" s="23"/>
      <c r="D45" s="23"/>
      <c r="E45" s="23"/>
      <c r="F45" s="23"/>
      <c r="G45" s="36"/>
      <c r="H45" s="8"/>
      <c r="I45" s="12"/>
    </row>
    <row r="46" spans="1:9" ht="13.5" customHeight="1">
      <c r="A46" s="2" t="s">
        <v>197</v>
      </c>
      <c r="B46" s="6"/>
      <c r="C46" s="35">
        <f>C18/Subscriptions!$B18</f>
        <v>0.073</v>
      </c>
      <c r="D46" s="35">
        <f>D18/Subscriptions!$B18</f>
        <v>8.2125</v>
      </c>
      <c r="E46" s="35">
        <f>E18/Subscriptions!$B18</f>
        <v>109.5</v>
      </c>
      <c r="F46" s="35">
        <f>F18/Subscriptions!$B18</f>
        <v>958.125</v>
      </c>
      <c r="G46" s="47">
        <f>SUM(C46:F46)</f>
        <v>1075.9105</v>
      </c>
      <c r="H46" s="8"/>
      <c r="I46" s="70">
        <f>IF($L$30="Diffs file",G46*$K$14,G46)</f>
        <v>1075.9105</v>
      </c>
    </row>
    <row r="47" spans="1:9" ht="13.5" customHeight="1">
      <c r="A47" s="2" t="s">
        <v>109</v>
      </c>
      <c r="B47" s="6"/>
      <c r="C47" s="35">
        <f>C19/Subscriptions!$B19</f>
        <v>22.8125</v>
      </c>
      <c r="D47" s="35">
        <f>D19/Subscriptions!$B19</f>
        <v>342.1875</v>
      </c>
      <c r="E47" s="35">
        <f>E19/Subscriptions!$B19</f>
        <v>912.5</v>
      </c>
      <c r="F47" s="35">
        <f>F19/Subscriptions!$B19</f>
        <v>1825</v>
      </c>
      <c r="G47" s="47">
        <f>SUM(C47:F47)</f>
        <v>3102.5</v>
      </c>
      <c r="H47" s="6"/>
      <c r="I47" s="70">
        <f>IF($L$30="Diffs file",G47*$K$14,G47)</f>
        <v>3102.5</v>
      </c>
    </row>
    <row r="48" spans="1:9" ht="13.5" customHeight="1">
      <c r="A48" s="2"/>
      <c r="B48" s="12"/>
      <c r="C48" s="24"/>
      <c r="D48" s="24"/>
      <c r="E48" s="24"/>
      <c r="F48" s="24"/>
      <c r="G48" s="23"/>
      <c r="H48" s="8"/>
      <c r="I48" s="12"/>
    </row>
    <row r="49" spans="1:9" ht="13.5" customHeight="1">
      <c r="A49" s="3" t="s">
        <v>121</v>
      </c>
      <c r="B49" s="12"/>
      <c r="C49" s="23"/>
      <c r="D49" s="23"/>
      <c r="E49" s="23"/>
      <c r="F49" s="23"/>
      <c r="G49" s="12"/>
      <c r="H49" s="8"/>
      <c r="I49" s="12"/>
    </row>
    <row r="50" spans="1:9" ht="13.5" customHeight="1">
      <c r="A50" s="2" t="s">
        <v>197</v>
      </c>
      <c r="B50" s="6"/>
      <c r="C50" s="23"/>
      <c r="D50" s="23"/>
      <c r="E50" s="23"/>
      <c r="F50" s="23"/>
      <c r="G50" s="12"/>
      <c r="H50" s="8"/>
      <c r="I50" s="8"/>
    </row>
    <row r="51" spans="1:9" ht="13.5" customHeight="1">
      <c r="A51" s="2" t="s">
        <v>109</v>
      </c>
      <c r="B51" s="6"/>
      <c r="C51" s="23"/>
      <c r="D51" s="23"/>
      <c r="E51" s="23"/>
      <c r="F51" s="23"/>
      <c r="G51" s="12"/>
      <c r="H51" s="7"/>
      <c r="I51" s="8"/>
    </row>
    <row r="52" spans="1:9" ht="13.5" customHeight="1">
      <c r="A52" s="2"/>
      <c r="B52" s="12"/>
      <c r="C52" s="12"/>
      <c r="D52" s="12"/>
      <c r="E52" s="12"/>
      <c r="F52" s="12"/>
      <c r="G52" s="12"/>
      <c r="H52" s="7"/>
      <c r="I52" s="12"/>
    </row>
    <row r="53" spans="1:9" ht="13.5" customHeight="1">
      <c r="A53" s="3" t="s">
        <v>120</v>
      </c>
      <c r="B53" s="12"/>
      <c r="C53" s="12"/>
      <c r="D53" s="12"/>
      <c r="E53" s="12"/>
      <c r="F53" s="12"/>
      <c r="G53" s="12"/>
      <c r="H53" s="7"/>
      <c r="I53" s="12"/>
    </row>
    <row r="54" spans="1:9" ht="13.5" customHeight="1">
      <c r="A54" s="2" t="s">
        <v>118</v>
      </c>
      <c r="B54" s="6"/>
      <c r="C54" s="8"/>
      <c r="D54" s="8"/>
      <c r="E54" s="8"/>
      <c r="F54" s="8"/>
      <c r="G54" s="8"/>
      <c r="H54" s="7"/>
      <c r="I54" s="20"/>
    </row>
    <row r="55" spans="1:9" ht="13.5" customHeight="1">
      <c r="A55" s="2" t="s">
        <v>119</v>
      </c>
      <c r="B55" s="6"/>
      <c r="C55" s="8"/>
      <c r="D55" s="8"/>
      <c r="E55" s="8"/>
      <c r="F55" s="8"/>
      <c r="G55" s="8"/>
      <c r="H55" s="7"/>
      <c r="I55" s="20"/>
    </row>
    <row r="58" ht="13.5" customHeight="1">
      <c r="A58" s="13" t="s">
        <v>67</v>
      </c>
    </row>
    <row r="60" spans="1:9" ht="13.5" customHeight="1">
      <c r="A60" s="6"/>
      <c r="B60" s="4" t="s">
        <v>115</v>
      </c>
      <c r="C60" s="4" t="s">
        <v>108</v>
      </c>
      <c r="D60" s="4" t="s">
        <v>110</v>
      </c>
      <c r="E60" s="4" t="s">
        <v>111</v>
      </c>
      <c r="F60" s="4" t="s">
        <v>261</v>
      </c>
      <c r="G60" s="4" t="s">
        <v>117</v>
      </c>
      <c r="H60" s="6"/>
      <c r="I60" s="10" t="s">
        <v>127</v>
      </c>
    </row>
    <row r="61" spans="1:9" ht="13.5" customHeight="1">
      <c r="A61" s="6"/>
      <c r="B61" s="6"/>
      <c r="C61" s="22"/>
      <c r="D61" s="22"/>
      <c r="E61" s="22"/>
      <c r="F61" s="22"/>
      <c r="G61" s="6"/>
      <c r="H61" s="6"/>
      <c r="I61" s="27" t="s">
        <v>187</v>
      </c>
    </row>
    <row r="62" spans="1:9" ht="13.5" customHeight="1">
      <c r="A62" s="2"/>
      <c r="B62" s="6"/>
      <c r="C62" s="22"/>
      <c r="D62" s="22"/>
      <c r="E62" s="22"/>
      <c r="F62" s="22"/>
      <c r="G62" s="6"/>
      <c r="H62" s="6"/>
      <c r="I62" s="27" t="s">
        <v>188</v>
      </c>
    </row>
    <row r="63" spans="1:9" ht="13.5" customHeight="1">
      <c r="A63" s="2"/>
      <c r="B63" s="9"/>
      <c r="C63" s="6"/>
      <c r="D63" s="6"/>
      <c r="E63" s="6"/>
      <c r="F63" s="6"/>
      <c r="G63" s="6"/>
      <c r="H63" s="6"/>
      <c r="I63" s="27" t="s">
        <v>189</v>
      </c>
    </row>
    <row r="64" spans="1:9" ht="13.5" customHeight="1">
      <c r="A64" s="18" t="s">
        <v>198</v>
      </c>
      <c r="B64" s="9"/>
      <c r="C64" s="12"/>
      <c r="D64" s="12"/>
      <c r="E64" s="12"/>
      <c r="F64" s="12"/>
      <c r="G64" s="6"/>
      <c r="H64" s="6"/>
      <c r="I64" s="12"/>
    </row>
    <row r="65" spans="1:9" ht="13.5" customHeight="1">
      <c r="A65" s="3" t="s">
        <v>108</v>
      </c>
      <c r="B65" s="12"/>
      <c r="C65" s="11"/>
      <c r="D65" s="11"/>
      <c r="E65" s="11"/>
      <c r="F65" s="11"/>
      <c r="G65" s="6"/>
      <c r="H65" s="8"/>
      <c r="I65" s="12"/>
    </row>
    <row r="66" spans="1:9" ht="13.5" customHeight="1">
      <c r="A66" s="2" t="s">
        <v>122</v>
      </c>
      <c r="B66" s="12"/>
      <c r="C66" s="35">
        <f>C10/Subscriptions!C$5</f>
        <v>0.06</v>
      </c>
      <c r="D66" s="35">
        <f>D10/Subscriptions!D$5</f>
        <v>1.5000000000000002</v>
      </c>
      <c r="E66" s="35">
        <f>E10/Subscriptions!E$5</f>
        <v>300</v>
      </c>
      <c r="F66" s="35">
        <f>F10/Subscriptions!F$5</f>
        <v>15750</v>
      </c>
      <c r="G66" s="23"/>
      <c r="H66" s="8"/>
      <c r="I66" s="20"/>
    </row>
    <row r="67" spans="1:9" ht="13.5" customHeight="1">
      <c r="A67" s="2" t="s">
        <v>119</v>
      </c>
      <c r="B67" s="12"/>
      <c r="C67" s="35">
        <f>C11/Subscriptions!C$6</f>
        <v>0.45</v>
      </c>
      <c r="D67" s="35">
        <f>D11/Subscriptions!D$6</f>
        <v>11.25</v>
      </c>
      <c r="E67" s="35">
        <f>E11/Subscriptions!E$6</f>
        <v>2250</v>
      </c>
      <c r="F67" s="35">
        <f>F11/Subscriptions!F$6</f>
        <v>90000</v>
      </c>
      <c r="G67" s="23"/>
      <c r="H67" s="8"/>
      <c r="I67" s="20"/>
    </row>
    <row r="68" spans="1:9" ht="13.5" customHeight="1">
      <c r="A68" s="2"/>
      <c r="B68" s="12"/>
      <c r="C68" s="23"/>
      <c r="D68" s="23"/>
      <c r="E68" s="23"/>
      <c r="F68" s="23"/>
      <c r="G68" s="23"/>
      <c r="H68" s="8"/>
      <c r="I68" s="12"/>
    </row>
    <row r="69" spans="1:9" ht="13.5" customHeight="1">
      <c r="A69" s="3" t="s">
        <v>110</v>
      </c>
      <c r="B69" s="12"/>
      <c r="C69" s="23"/>
      <c r="D69" s="23"/>
      <c r="E69" s="23"/>
      <c r="F69" s="23"/>
      <c r="G69" s="23"/>
      <c r="H69" s="8"/>
      <c r="I69" s="12"/>
    </row>
    <row r="70" spans="1:9" ht="13.5" customHeight="1">
      <c r="A70" s="2" t="s">
        <v>197</v>
      </c>
      <c r="B70" s="6"/>
      <c r="C70" s="35">
        <f>C14/Subscriptions!C$5</f>
        <v>0.26</v>
      </c>
      <c r="D70" s="35">
        <f>D14/Subscriptions!D$5</f>
        <v>13</v>
      </c>
      <c r="E70" s="35">
        <f>E14/Subscriptions!E$5</f>
        <v>780</v>
      </c>
      <c r="F70" s="35">
        <f>F14/Subscriptions!F$5</f>
        <v>27300</v>
      </c>
      <c r="G70" s="23"/>
      <c r="H70" s="8"/>
      <c r="I70" s="20"/>
    </row>
    <row r="71" spans="1:9" ht="13.5" customHeight="1">
      <c r="A71" s="2" t="s">
        <v>109</v>
      </c>
      <c r="B71" s="6"/>
      <c r="C71" s="35">
        <f>C15/Subscriptions!C$6</f>
        <v>1.625</v>
      </c>
      <c r="D71" s="35">
        <f>D15/Subscriptions!D$6</f>
        <v>81.25</v>
      </c>
      <c r="E71" s="35">
        <f>E15/Subscriptions!E$6</f>
        <v>4875</v>
      </c>
      <c r="F71" s="35">
        <f>F15/Subscriptions!F$6</f>
        <v>130000</v>
      </c>
      <c r="G71" s="23"/>
      <c r="H71" s="8"/>
      <c r="I71" s="20"/>
    </row>
    <row r="72" spans="1:9" ht="13.5" customHeight="1">
      <c r="A72" s="2"/>
      <c r="B72" s="12"/>
      <c r="C72" s="23"/>
      <c r="D72" s="23"/>
      <c r="E72" s="23"/>
      <c r="F72" s="23"/>
      <c r="G72" s="23"/>
      <c r="H72" s="8"/>
      <c r="I72" s="12"/>
    </row>
    <row r="73" spans="1:9" ht="13.5" customHeight="1">
      <c r="A73" s="3" t="s">
        <v>111</v>
      </c>
      <c r="B73" s="12"/>
      <c r="C73" s="23"/>
      <c r="D73" s="23"/>
      <c r="E73" s="23"/>
      <c r="F73" s="23"/>
      <c r="G73" s="23"/>
      <c r="H73" s="8"/>
      <c r="I73" s="12"/>
    </row>
    <row r="74" spans="1:9" ht="13.5" customHeight="1">
      <c r="A74" s="2" t="s">
        <v>197</v>
      </c>
      <c r="B74" s="6"/>
      <c r="C74" s="35">
        <f>C18/Subscriptions!C$5</f>
        <v>1.825</v>
      </c>
      <c r="D74" s="35">
        <f>D18/Subscriptions!D$5</f>
        <v>136.875</v>
      </c>
      <c r="E74" s="35">
        <f>E18/Subscriptions!E$5</f>
        <v>3650</v>
      </c>
      <c r="F74" s="35">
        <f>F18/Subscriptions!F$5</f>
        <v>95812.5</v>
      </c>
      <c r="G74" s="23"/>
      <c r="H74" s="8"/>
      <c r="I74" s="20"/>
    </row>
    <row r="75" spans="1:9" ht="13.5" customHeight="1">
      <c r="A75" s="2" t="s">
        <v>109</v>
      </c>
      <c r="B75" s="6"/>
      <c r="C75" s="35">
        <f>C19/Subscriptions!C$6</f>
        <v>11.40625</v>
      </c>
      <c r="D75" s="35">
        <f>D19/Subscriptions!D$6</f>
        <v>855.46875</v>
      </c>
      <c r="E75" s="35">
        <f>E19/Subscriptions!E$6</f>
        <v>22812.5</v>
      </c>
      <c r="F75" s="35">
        <f>F19/Subscriptions!F$6</f>
        <v>456250</v>
      </c>
      <c r="G75" s="23"/>
      <c r="H75" s="6"/>
      <c r="I75" s="20"/>
    </row>
    <row r="76" spans="1:9" ht="13.5" customHeight="1">
      <c r="A76" s="2"/>
      <c r="B76" s="12"/>
      <c r="C76" s="24"/>
      <c r="D76" s="24"/>
      <c r="E76" s="24"/>
      <c r="F76" s="24"/>
      <c r="G76" s="23"/>
      <c r="H76" s="8"/>
      <c r="I76" s="12"/>
    </row>
    <row r="77" spans="1:9" ht="13.5" customHeight="1">
      <c r="A77" s="3" t="s">
        <v>121</v>
      </c>
      <c r="B77" s="12"/>
      <c r="C77" s="23"/>
      <c r="D77" s="23"/>
      <c r="E77" s="23"/>
      <c r="F77" s="23"/>
      <c r="G77" s="23"/>
      <c r="H77" s="8"/>
      <c r="I77" s="12"/>
    </row>
    <row r="78" spans="1:9" ht="13.5" customHeight="1">
      <c r="A78" s="2" t="s">
        <v>197</v>
      </c>
      <c r="B78" s="6"/>
      <c r="C78" s="47">
        <f aca="true" t="shared" si="1" ref="C78:F79">C66+C70+C74</f>
        <v>2.145</v>
      </c>
      <c r="D78" s="47">
        <f t="shared" si="1"/>
        <v>151.375</v>
      </c>
      <c r="E78" s="47">
        <f t="shared" si="1"/>
        <v>4730</v>
      </c>
      <c r="F78" s="47">
        <f t="shared" si="1"/>
        <v>138862.5</v>
      </c>
      <c r="G78" s="23"/>
      <c r="H78" s="8"/>
      <c r="I78" s="8"/>
    </row>
    <row r="79" spans="1:9" ht="13.5" customHeight="1">
      <c r="A79" s="2" t="s">
        <v>109</v>
      </c>
      <c r="B79" s="6"/>
      <c r="C79" s="47">
        <f t="shared" si="1"/>
        <v>13.48125</v>
      </c>
      <c r="D79" s="47">
        <f t="shared" si="1"/>
        <v>947.96875</v>
      </c>
      <c r="E79" s="47">
        <f t="shared" si="1"/>
        <v>29937.5</v>
      </c>
      <c r="F79" s="47">
        <f t="shared" si="1"/>
        <v>676250</v>
      </c>
      <c r="G79" s="23"/>
      <c r="H79" s="7"/>
      <c r="I79" s="8"/>
    </row>
    <row r="80" spans="1:9" ht="13.5" customHeight="1">
      <c r="A80" s="2"/>
      <c r="B80" s="12"/>
      <c r="C80" s="12"/>
      <c r="D80" s="12"/>
      <c r="E80" s="12"/>
      <c r="F80" s="12"/>
      <c r="G80" s="12"/>
      <c r="H80" s="7"/>
      <c r="I80" s="12"/>
    </row>
    <row r="81" spans="1:9" ht="13.5" customHeight="1">
      <c r="A81" s="3" t="s">
        <v>120</v>
      </c>
      <c r="B81" s="12"/>
      <c r="C81" s="12"/>
      <c r="D81" s="12"/>
      <c r="E81" s="12"/>
      <c r="F81" s="12"/>
      <c r="G81" s="12"/>
      <c r="H81" s="7"/>
      <c r="I81" s="12"/>
    </row>
    <row r="82" spans="1:9" ht="13.5" customHeight="1">
      <c r="A82" s="2" t="s">
        <v>118</v>
      </c>
      <c r="B82" s="6"/>
      <c r="C82" s="50">
        <f aca="true" t="shared" si="2" ref="C82:F83">C78*$K$14</f>
        <v>0.006435000000000001</v>
      </c>
      <c r="D82" s="51">
        <f t="shared" si="2"/>
        <v>0.454125</v>
      </c>
      <c r="E82" s="51">
        <f t="shared" si="2"/>
        <v>14.19</v>
      </c>
      <c r="F82" s="51">
        <f t="shared" si="2"/>
        <v>416.58750000000003</v>
      </c>
      <c r="G82" s="8"/>
      <c r="H82" s="7"/>
      <c r="I82" s="20"/>
    </row>
    <row r="83" spans="1:9" ht="13.5" customHeight="1">
      <c r="A83" s="2" t="s">
        <v>119</v>
      </c>
      <c r="B83" s="6"/>
      <c r="C83" s="51">
        <f t="shared" si="2"/>
        <v>0.04044375</v>
      </c>
      <c r="D83" s="51">
        <f t="shared" si="2"/>
        <v>2.84390625</v>
      </c>
      <c r="E83" s="51">
        <f t="shared" si="2"/>
        <v>89.8125</v>
      </c>
      <c r="F83" s="51">
        <f t="shared" si="2"/>
        <v>2028.75</v>
      </c>
      <c r="G83" s="8"/>
      <c r="H83" s="7"/>
      <c r="I83" s="20"/>
    </row>
  </sheetData>
  <sheetProtection/>
  <mergeCells count="2">
    <mergeCell ref="A25:D25"/>
    <mergeCell ref="A1:G1"/>
  </mergeCells>
  <dataValidations count="1">
    <dataValidation type="list" showInputMessage="1" showErrorMessage="1" sqref="L30">
      <formula1>$R$1:$R$2</formula1>
    </dataValidation>
  </dataValidations>
  <printOptions/>
  <pageMargins left="0.75" right="0.75" top="1" bottom="1" header="0.5" footer="0.5"/>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Craig</cp:lastModifiedBy>
  <dcterms:created xsi:type="dcterms:W3CDTF">2010-01-27T13:56:31Z</dcterms:created>
  <dcterms:modified xsi:type="dcterms:W3CDTF">2010-05-12T18:54:33Z</dcterms:modified>
  <cp:category/>
  <cp:version/>
  <cp:contentType/>
  <cp:contentStatus/>
</cp:coreProperties>
</file>